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/>
  <mc:AlternateContent xmlns:mc="http://schemas.openxmlformats.org/markup-compatibility/2006">
    <mc:Choice Requires="x15">
      <x15ac:absPath xmlns:x15ac="http://schemas.microsoft.com/office/spreadsheetml/2010/11/ac" url="C:\Users\user\Desktop\투자\magicsplit\"/>
    </mc:Choice>
  </mc:AlternateContent>
  <bookViews>
    <workbookView xWindow="0" yWindow="0" windowWidth="28800" windowHeight="1195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AG2713" i="1" l="1"/>
  <c r="AG2712" i="1"/>
  <c r="AG2711" i="1"/>
  <c r="AG2710" i="1"/>
  <c r="AG2709" i="1"/>
  <c r="AG2708" i="1"/>
  <c r="AG2707" i="1"/>
  <c r="AG2706" i="1"/>
  <c r="AG2705" i="1"/>
  <c r="AG2704" i="1"/>
  <c r="AG2703" i="1"/>
  <c r="AG2702" i="1"/>
  <c r="AG2701" i="1"/>
  <c r="AG2700" i="1"/>
  <c r="AG2699" i="1"/>
  <c r="AG2698" i="1"/>
  <c r="AG2697" i="1"/>
  <c r="AG2696" i="1"/>
  <c r="AG2695" i="1"/>
  <c r="AG2694" i="1"/>
  <c r="AG2693" i="1"/>
  <c r="AG2692" i="1"/>
  <c r="AG2691" i="1"/>
  <c r="AG2690" i="1"/>
  <c r="AG2689" i="1"/>
  <c r="AG2688" i="1"/>
  <c r="AG2687" i="1"/>
  <c r="AG2686" i="1"/>
  <c r="AG2685" i="1"/>
  <c r="AG2684" i="1"/>
  <c r="AG2683" i="1"/>
  <c r="AG2682" i="1"/>
  <c r="AG2681" i="1"/>
  <c r="AG2680" i="1"/>
  <c r="AG2679" i="1"/>
  <c r="AG2678" i="1"/>
  <c r="AG2677" i="1"/>
  <c r="AG2676" i="1"/>
  <c r="AG2675" i="1"/>
  <c r="AG2674" i="1"/>
  <c r="AG2673" i="1"/>
  <c r="AG2672" i="1"/>
  <c r="AG2671" i="1"/>
  <c r="AG2670" i="1"/>
  <c r="AG2669" i="1"/>
  <c r="AG2668" i="1"/>
  <c r="AG2667" i="1"/>
  <c r="AG2666" i="1"/>
  <c r="AG2665" i="1"/>
  <c r="AG2664" i="1"/>
  <c r="AG2663" i="1"/>
  <c r="AG2662" i="1"/>
  <c r="AG2661" i="1"/>
  <c r="AG2660" i="1"/>
  <c r="AG2659" i="1"/>
  <c r="AG2658" i="1"/>
  <c r="AG2657" i="1"/>
  <c r="AG2656" i="1"/>
  <c r="AG2655" i="1"/>
  <c r="AG2654" i="1"/>
  <c r="AG2653" i="1"/>
  <c r="AG2652" i="1"/>
  <c r="AG2651" i="1"/>
  <c r="AG2650" i="1"/>
  <c r="AG2649" i="1"/>
  <c r="AG2648" i="1"/>
  <c r="AG2647" i="1"/>
  <c r="AG2646" i="1"/>
  <c r="AG2645" i="1"/>
  <c r="AG2644" i="1"/>
  <c r="AG2643" i="1"/>
  <c r="AG2642" i="1"/>
  <c r="AG2641" i="1"/>
  <c r="AG2640" i="1"/>
  <c r="AG2639" i="1"/>
  <c r="AG2638" i="1"/>
  <c r="AG2637" i="1"/>
  <c r="AG2636" i="1"/>
  <c r="AG2635" i="1"/>
  <c r="AG2634" i="1"/>
  <c r="AG2633" i="1"/>
  <c r="AG2632" i="1"/>
  <c r="AG2631" i="1"/>
  <c r="AG2630" i="1"/>
  <c r="AG2629" i="1"/>
  <c r="AG2628" i="1"/>
  <c r="AG2627" i="1"/>
  <c r="AG2626" i="1"/>
  <c r="AG2625" i="1"/>
  <c r="AG2624" i="1"/>
  <c r="AG2623" i="1"/>
  <c r="AG2622" i="1"/>
  <c r="AG2621" i="1"/>
  <c r="AG2620" i="1"/>
  <c r="AG2619" i="1"/>
  <c r="AG2618" i="1"/>
  <c r="AG2617" i="1"/>
  <c r="AG2616" i="1"/>
  <c r="AG2615" i="1"/>
  <c r="AG2614" i="1"/>
  <c r="AG2613" i="1"/>
  <c r="AG2612" i="1"/>
  <c r="AG2611" i="1"/>
  <c r="AG2610" i="1"/>
  <c r="AG2609" i="1"/>
  <c r="AG2608" i="1"/>
  <c r="AG2607" i="1"/>
  <c r="AG2606" i="1"/>
  <c r="AG2605" i="1"/>
  <c r="AG2604" i="1"/>
  <c r="AG2603" i="1"/>
  <c r="AG2602" i="1"/>
  <c r="AG2601" i="1"/>
  <c r="AG2600" i="1"/>
  <c r="AG2599" i="1"/>
  <c r="AG2598" i="1"/>
  <c r="AG2597" i="1"/>
  <c r="AG2596" i="1"/>
  <c r="AG2595" i="1"/>
  <c r="AG2594" i="1"/>
  <c r="AG2593" i="1"/>
  <c r="AG2592" i="1"/>
  <c r="AG2591" i="1"/>
  <c r="AG2590" i="1"/>
  <c r="AG2589" i="1"/>
  <c r="AG2588" i="1"/>
  <c r="AG2587" i="1"/>
  <c r="AG2586" i="1"/>
  <c r="AG2585" i="1"/>
  <c r="AG2584" i="1"/>
  <c r="AG2583" i="1"/>
  <c r="AG2582" i="1"/>
  <c r="AG2581" i="1"/>
  <c r="AG2580" i="1"/>
  <c r="AG2579" i="1"/>
  <c r="AG2578" i="1"/>
  <c r="AG2577" i="1"/>
  <c r="AG2576" i="1"/>
  <c r="AG2575" i="1"/>
  <c r="AG2574" i="1"/>
  <c r="AG2573" i="1"/>
  <c r="AG2572" i="1"/>
  <c r="AG2571" i="1"/>
  <c r="AG2570" i="1"/>
  <c r="AG2569" i="1"/>
  <c r="AG2568" i="1"/>
  <c r="AG2567" i="1"/>
  <c r="AG2566" i="1"/>
  <c r="AG2565" i="1"/>
  <c r="AG2564" i="1"/>
  <c r="AG2563" i="1"/>
  <c r="AG2562" i="1"/>
  <c r="AG2561" i="1"/>
  <c r="AG2560" i="1"/>
  <c r="AG2559" i="1"/>
  <c r="AG2558" i="1"/>
  <c r="AG2557" i="1"/>
  <c r="AG2556" i="1"/>
  <c r="AG2555" i="1"/>
  <c r="AG2554" i="1"/>
  <c r="AG2553" i="1"/>
  <c r="AG2552" i="1"/>
  <c r="AG2551" i="1"/>
  <c r="AG2550" i="1"/>
  <c r="AG2549" i="1"/>
  <c r="AG2548" i="1"/>
  <c r="AG2547" i="1"/>
  <c r="AG2546" i="1"/>
  <c r="AG2545" i="1"/>
  <c r="AG2544" i="1"/>
  <c r="AG2543" i="1"/>
  <c r="AG2542" i="1"/>
  <c r="AG2541" i="1"/>
  <c r="AG2540" i="1"/>
  <c r="AG2539" i="1"/>
  <c r="AG2538" i="1"/>
  <c r="AG2537" i="1"/>
  <c r="AG2536" i="1"/>
  <c r="AG2535" i="1"/>
  <c r="AG2534" i="1"/>
  <c r="AG2533" i="1"/>
  <c r="AG2532" i="1"/>
  <c r="AG2531" i="1"/>
  <c r="AG2530" i="1"/>
  <c r="AG2529" i="1"/>
  <c r="AG2528" i="1"/>
  <c r="AG2527" i="1"/>
  <c r="AG2526" i="1"/>
  <c r="AG2525" i="1"/>
  <c r="AG2524" i="1"/>
  <c r="AG2523" i="1"/>
  <c r="AG2522" i="1"/>
  <c r="AG2521" i="1"/>
  <c r="AG2520" i="1"/>
  <c r="AG2519" i="1"/>
  <c r="AG2518" i="1"/>
  <c r="AG2517" i="1"/>
  <c r="AG2516" i="1"/>
  <c r="AG2515" i="1"/>
  <c r="AG2514" i="1"/>
  <c r="AG2513" i="1"/>
  <c r="AG2512" i="1"/>
  <c r="AG2511" i="1"/>
  <c r="AG2510" i="1"/>
  <c r="AG2509" i="1"/>
  <c r="AG2508" i="1"/>
  <c r="AG2507" i="1"/>
  <c r="AG2506" i="1"/>
  <c r="AG2505" i="1"/>
  <c r="AG2504" i="1"/>
  <c r="AG2503" i="1"/>
  <c r="AG2502" i="1"/>
  <c r="AG2501" i="1"/>
  <c r="AG2500" i="1"/>
  <c r="AG2499" i="1"/>
  <c r="AG2498" i="1"/>
  <c r="AG2497" i="1"/>
  <c r="AG2496" i="1"/>
  <c r="AG2495" i="1"/>
  <c r="AG2494" i="1"/>
  <c r="AG2493" i="1"/>
  <c r="AG2492" i="1"/>
  <c r="AG2491" i="1"/>
  <c r="AG2490" i="1"/>
  <c r="AG2489" i="1"/>
  <c r="AG2488" i="1"/>
  <c r="AG2487" i="1"/>
  <c r="AG2486" i="1"/>
  <c r="AG2485" i="1"/>
  <c r="AG2484" i="1"/>
  <c r="AG2483" i="1"/>
  <c r="AG2482" i="1"/>
  <c r="AG2481" i="1"/>
  <c r="AG2480" i="1"/>
  <c r="AG2479" i="1"/>
  <c r="AG2478" i="1"/>
  <c r="AG2477" i="1"/>
  <c r="AG2476" i="1"/>
  <c r="AG2475" i="1"/>
  <c r="AG2474" i="1"/>
  <c r="AG2473" i="1"/>
  <c r="AG2472" i="1"/>
  <c r="AG2471" i="1"/>
  <c r="AG2470" i="1"/>
  <c r="AG2469" i="1"/>
  <c r="AG2468" i="1"/>
  <c r="AG2467" i="1"/>
  <c r="AG2466" i="1"/>
  <c r="AG2465" i="1"/>
  <c r="AG2464" i="1"/>
  <c r="AG2463" i="1"/>
  <c r="AG2462" i="1"/>
  <c r="AG2461" i="1"/>
  <c r="AG2460" i="1"/>
  <c r="AG2459" i="1"/>
  <c r="AG2458" i="1"/>
  <c r="AG2457" i="1"/>
  <c r="AG2456" i="1"/>
  <c r="AG2455" i="1"/>
  <c r="AG2454" i="1"/>
  <c r="AG2453" i="1"/>
  <c r="AG2452" i="1"/>
  <c r="AG2451" i="1"/>
  <c r="AG2450" i="1"/>
  <c r="AG2449" i="1"/>
  <c r="AG2448" i="1"/>
  <c r="AG2447" i="1"/>
  <c r="AG2446" i="1"/>
  <c r="AG2445" i="1"/>
  <c r="AG2444" i="1"/>
  <c r="AG2443" i="1"/>
  <c r="AG2442" i="1"/>
  <c r="AG2441" i="1"/>
  <c r="AG2440" i="1"/>
  <c r="AG2439" i="1"/>
  <c r="AG2438" i="1"/>
  <c r="AG2437" i="1"/>
  <c r="AG2436" i="1"/>
  <c r="AG2435" i="1"/>
  <c r="AG2434" i="1"/>
  <c r="AG2433" i="1"/>
  <c r="AG2432" i="1"/>
  <c r="AG2431" i="1"/>
  <c r="AG2430" i="1"/>
  <c r="AG2429" i="1"/>
  <c r="AG2428" i="1"/>
  <c r="AG2427" i="1"/>
  <c r="AG2426" i="1"/>
  <c r="AG2425" i="1"/>
  <c r="AG2424" i="1"/>
  <c r="AG2423" i="1"/>
  <c r="AG2422" i="1"/>
  <c r="AG2421" i="1"/>
  <c r="AG2420" i="1"/>
  <c r="AG2419" i="1"/>
  <c r="AG2418" i="1"/>
  <c r="AG2417" i="1"/>
  <c r="AG2416" i="1"/>
  <c r="AG2415" i="1"/>
  <c r="AG2414" i="1"/>
  <c r="AG2413" i="1"/>
  <c r="AG2412" i="1"/>
  <c r="AG2411" i="1"/>
  <c r="AG2410" i="1"/>
  <c r="AG2409" i="1"/>
  <c r="AG2408" i="1"/>
  <c r="AG2407" i="1"/>
  <c r="AG2406" i="1"/>
  <c r="AG2405" i="1"/>
  <c r="AG2404" i="1"/>
  <c r="AG2403" i="1"/>
  <c r="AG2402" i="1"/>
  <c r="AG2401" i="1"/>
  <c r="AG2400" i="1"/>
  <c r="AG2399" i="1"/>
  <c r="AG2398" i="1"/>
  <c r="AG2397" i="1"/>
  <c r="AG2396" i="1"/>
  <c r="AG2395" i="1"/>
  <c r="AG2394" i="1"/>
  <c r="AG2393" i="1"/>
  <c r="AG2392" i="1"/>
  <c r="AG2391" i="1"/>
  <c r="AG2390" i="1"/>
  <c r="AG2389" i="1"/>
  <c r="AG2388" i="1"/>
  <c r="AG2387" i="1"/>
  <c r="AG2386" i="1"/>
  <c r="AG2385" i="1"/>
  <c r="AG2384" i="1"/>
  <c r="AG2383" i="1"/>
  <c r="AG2382" i="1"/>
  <c r="AG2381" i="1"/>
  <c r="AG2380" i="1"/>
  <c r="AG2379" i="1"/>
  <c r="AG2378" i="1"/>
  <c r="AG2377" i="1"/>
  <c r="AG2376" i="1"/>
  <c r="AG2375" i="1"/>
  <c r="AG2374" i="1"/>
  <c r="AG2373" i="1"/>
  <c r="AG2372" i="1"/>
  <c r="AG2371" i="1"/>
  <c r="AG2370" i="1"/>
  <c r="AG2369" i="1"/>
  <c r="AG2368" i="1"/>
  <c r="AG2367" i="1"/>
  <c r="AG2366" i="1"/>
  <c r="AG2365" i="1"/>
  <c r="AG2364" i="1"/>
  <c r="AG2363" i="1"/>
  <c r="AG2362" i="1"/>
  <c r="AG2361" i="1"/>
  <c r="AG2360" i="1"/>
  <c r="AG2359" i="1"/>
  <c r="AG2358" i="1"/>
  <c r="AG2357" i="1"/>
  <c r="AG2356" i="1"/>
  <c r="AG2355" i="1"/>
  <c r="AG2354" i="1"/>
  <c r="AG2353" i="1"/>
  <c r="AG2352" i="1"/>
  <c r="AG2351" i="1"/>
  <c r="AG2350" i="1"/>
  <c r="AG2349" i="1"/>
  <c r="AG2348" i="1"/>
  <c r="AG2347" i="1"/>
  <c r="AG2346" i="1"/>
  <c r="AG2345" i="1"/>
  <c r="AG2344" i="1"/>
  <c r="AG2343" i="1"/>
  <c r="AG2342" i="1"/>
  <c r="AG2341" i="1"/>
  <c r="AG2340" i="1"/>
  <c r="AG2339" i="1"/>
  <c r="AG2338" i="1"/>
  <c r="AG2337" i="1"/>
  <c r="AG2336" i="1"/>
  <c r="AG2335" i="1"/>
  <c r="AG2334" i="1"/>
  <c r="AG2333" i="1"/>
  <c r="AG2332" i="1"/>
  <c r="AG2331" i="1"/>
  <c r="AG2330" i="1"/>
  <c r="AG2329" i="1"/>
  <c r="AG2328" i="1"/>
  <c r="AG2327" i="1"/>
  <c r="AG2326" i="1"/>
  <c r="AG2325" i="1"/>
  <c r="AG2324" i="1"/>
  <c r="AG2323" i="1"/>
  <c r="AG2322" i="1"/>
  <c r="AG2321" i="1"/>
  <c r="AG2320" i="1"/>
  <c r="AG2319" i="1"/>
  <c r="AG2318" i="1"/>
  <c r="AG2317" i="1"/>
  <c r="AG2316" i="1"/>
  <c r="AG2315" i="1"/>
  <c r="AG2314" i="1"/>
  <c r="AG2313" i="1"/>
  <c r="AG2312" i="1"/>
  <c r="AG2311" i="1"/>
  <c r="AG2310" i="1"/>
  <c r="AG2309" i="1"/>
  <c r="AG2308" i="1"/>
  <c r="AG2307" i="1"/>
  <c r="AG2306" i="1"/>
  <c r="AG2305" i="1"/>
  <c r="AG2304" i="1"/>
  <c r="AG2303" i="1"/>
  <c r="AG2302" i="1"/>
  <c r="AG2301" i="1"/>
  <c r="AG2300" i="1"/>
  <c r="AG2299" i="1"/>
  <c r="AG2298" i="1"/>
  <c r="AG2297" i="1"/>
  <c r="AG2296" i="1"/>
  <c r="AG2295" i="1"/>
  <c r="AG2294" i="1"/>
  <c r="AG2293" i="1"/>
  <c r="AG2292" i="1"/>
  <c r="AG2291" i="1"/>
  <c r="AG2290" i="1"/>
  <c r="AG2289" i="1"/>
  <c r="AG2288" i="1"/>
  <c r="AG2287" i="1"/>
  <c r="AG2286" i="1"/>
  <c r="AG2285" i="1"/>
  <c r="AG2284" i="1"/>
  <c r="AG2283" i="1"/>
  <c r="AG2282" i="1"/>
  <c r="AG2281" i="1"/>
  <c r="AG2280" i="1"/>
  <c r="AG2279" i="1"/>
  <c r="AG2278" i="1"/>
  <c r="AG2277" i="1"/>
  <c r="AG2276" i="1"/>
  <c r="AG2275" i="1"/>
  <c r="AG2274" i="1"/>
  <c r="AG2273" i="1"/>
  <c r="AG2272" i="1"/>
  <c r="AG2271" i="1"/>
  <c r="AG2270" i="1"/>
  <c r="AG2269" i="1"/>
  <c r="AG2268" i="1"/>
  <c r="AG2267" i="1"/>
  <c r="AG2266" i="1"/>
  <c r="AG2265" i="1"/>
  <c r="AG2264" i="1"/>
  <c r="AG2263" i="1"/>
  <c r="AG2262" i="1"/>
  <c r="AG2261" i="1"/>
  <c r="AG2260" i="1"/>
  <c r="AG2259" i="1"/>
  <c r="AG2258" i="1"/>
  <c r="AG2257" i="1"/>
  <c r="AG2256" i="1"/>
  <c r="AG2255" i="1"/>
  <c r="AG2254" i="1"/>
  <c r="AG2253" i="1"/>
  <c r="AG2252" i="1"/>
  <c r="AG2251" i="1"/>
  <c r="AG2250" i="1"/>
  <c r="AG2249" i="1"/>
  <c r="AG2248" i="1"/>
  <c r="AG2247" i="1"/>
  <c r="AG2246" i="1"/>
  <c r="AG2245" i="1"/>
  <c r="AG2244" i="1"/>
  <c r="AG2243" i="1"/>
  <c r="AG2242" i="1"/>
  <c r="AG2241" i="1"/>
  <c r="AG2240" i="1"/>
  <c r="AG2239" i="1"/>
  <c r="AG2238" i="1"/>
  <c r="AG2237" i="1"/>
  <c r="AG2236" i="1"/>
  <c r="AG2235" i="1"/>
  <c r="AG2234" i="1"/>
  <c r="AG2233" i="1"/>
  <c r="AG2232" i="1"/>
  <c r="AG2231" i="1"/>
  <c r="AG2230" i="1"/>
  <c r="AG2229" i="1"/>
  <c r="AG2228" i="1"/>
  <c r="AG2227" i="1"/>
  <c r="AG2226" i="1"/>
  <c r="AG2225" i="1"/>
  <c r="AG2224" i="1"/>
  <c r="AG2223" i="1"/>
  <c r="AG2222" i="1"/>
  <c r="AG2221" i="1"/>
  <c r="AG2220" i="1"/>
  <c r="AG2219" i="1"/>
  <c r="AG2218" i="1"/>
  <c r="AG2217" i="1"/>
  <c r="AG2216" i="1"/>
  <c r="AG2215" i="1"/>
  <c r="AG2214" i="1"/>
  <c r="AG2213" i="1"/>
  <c r="AG2212" i="1"/>
  <c r="AG2211" i="1"/>
  <c r="AG2210" i="1"/>
  <c r="AG2209" i="1"/>
  <c r="AG2208" i="1"/>
  <c r="AG2207" i="1"/>
  <c r="AG2206" i="1"/>
  <c r="AG2205" i="1"/>
  <c r="AG2204" i="1"/>
  <c r="AG2203" i="1"/>
  <c r="AG2202" i="1"/>
  <c r="AG2201" i="1"/>
  <c r="AG2200" i="1"/>
  <c r="AG2199" i="1"/>
  <c r="AG2198" i="1"/>
  <c r="AG2197" i="1"/>
  <c r="AG2196" i="1"/>
  <c r="AG2195" i="1"/>
  <c r="AG2194" i="1"/>
  <c r="AG2193" i="1"/>
  <c r="AG2192" i="1"/>
  <c r="AG2191" i="1"/>
  <c r="AG2190" i="1"/>
  <c r="AG2189" i="1"/>
  <c r="AG2188" i="1"/>
  <c r="AG2187" i="1"/>
  <c r="AG2186" i="1"/>
  <c r="AG2185" i="1"/>
  <c r="AG2184" i="1"/>
  <c r="AG2183" i="1"/>
  <c r="AG2182" i="1"/>
  <c r="AG2181" i="1"/>
  <c r="AG2180" i="1"/>
  <c r="AG2179" i="1"/>
  <c r="AG2178" i="1"/>
  <c r="AG2177" i="1"/>
  <c r="AG2176" i="1"/>
  <c r="AG2175" i="1"/>
  <c r="AG2174" i="1"/>
  <c r="AG2173" i="1"/>
  <c r="AG2172" i="1"/>
  <c r="AG2171" i="1"/>
  <c r="AG2170" i="1"/>
  <c r="AG2169" i="1"/>
  <c r="AG2168" i="1"/>
  <c r="AG2167" i="1"/>
  <c r="AG2166" i="1"/>
  <c r="AG2165" i="1"/>
  <c r="AG2164" i="1"/>
  <c r="AG2163" i="1"/>
  <c r="AG2162" i="1"/>
  <c r="AG2161" i="1"/>
  <c r="AG2160" i="1"/>
  <c r="AG2159" i="1"/>
  <c r="AG2158" i="1"/>
  <c r="AG2157" i="1"/>
  <c r="AG2156" i="1"/>
  <c r="AG2155" i="1"/>
  <c r="AG2154" i="1"/>
  <c r="AG2153" i="1"/>
  <c r="AG2152" i="1"/>
  <c r="AG2151" i="1"/>
  <c r="AG2150" i="1"/>
  <c r="AG2149" i="1"/>
  <c r="AG2148" i="1"/>
  <c r="AG2147" i="1"/>
  <c r="AG2146" i="1"/>
  <c r="AG2145" i="1"/>
  <c r="AG2144" i="1"/>
  <c r="AG2143" i="1"/>
  <c r="AG2142" i="1"/>
  <c r="AG2141" i="1"/>
  <c r="AG2140" i="1"/>
  <c r="AG2139" i="1"/>
  <c r="AG2138" i="1"/>
  <c r="AG2137" i="1"/>
  <c r="AG2136" i="1"/>
  <c r="AG2135" i="1"/>
  <c r="AG2134" i="1"/>
  <c r="AG2133" i="1"/>
  <c r="AG2132" i="1"/>
  <c r="AG2131" i="1"/>
  <c r="AG2130" i="1"/>
  <c r="AG2129" i="1"/>
  <c r="AG2128" i="1"/>
  <c r="AG2127" i="1"/>
  <c r="AG2126" i="1"/>
  <c r="AG2125" i="1"/>
  <c r="AG2124" i="1"/>
  <c r="AG2123" i="1"/>
  <c r="AG2122" i="1"/>
  <c r="AG2121" i="1"/>
  <c r="AG2120" i="1"/>
  <c r="AG2119" i="1"/>
  <c r="AG2118" i="1"/>
  <c r="AG2117" i="1"/>
  <c r="AG2116" i="1"/>
  <c r="AG2115" i="1"/>
  <c r="AG2114" i="1"/>
  <c r="AG2113" i="1"/>
  <c r="AG2112" i="1"/>
  <c r="AG2111" i="1"/>
  <c r="AG2110" i="1"/>
  <c r="AG2109" i="1"/>
  <c r="AG2108" i="1"/>
  <c r="AG2107" i="1"/>
  <c r="AG2106" i="1"/>
  <c r="AG2105" i="1"/>
  <c r="AG2104" i="1"/>
  <c r="AG2103" i="1"/>
  <c r="AG2102" i="1"/>
  <c r="AG2101" i="1"/>
  <c r="AG2100" i="1"/>
  <c r="AG2099" i="1"/>
  <c r="AG2098" i="1"/>
  <c r="AG2097" i="1"/>
  <c r="AG2096" i="1"/>
  <c r="AG2095" i="1"/>
  <c r="AG2094" i="1"/>
  <c r="AG2093" i="1"/>
  <c r="AG2092" i="1"/>
  <c r="AG2091" i="1"/>
  <c r="AG2090" i="1"/>
  <c r="AG2089" i="1"/>
  <c r="AG2088" i="1"/>
  <c r="AG2087" i="1"/>
  <c r="AG2086" i="1"/>
  <c r="AG2085" i="1"/>
  <c r="AG2084" i="1"/>
  <c r="AG2083" i="1"/>
  <c r="AG2082" i="1"/>
  <c r="AG2081" i="1"/>
  <c r="AG2080" i="1"/>
  <c r="AG2079" i="1"/>
  <c r="AG2078" i="1"/>
  <c r="AG2077" i="1"/>
  <c r="AG2076" i="1"/>
  <c r="AG2075" i="1"/>
  <c r="AG2074" i="1"/>
  <c r="AG2073" i="1"/>
  <c r="AG2072" i="1"/>
  <c r="AG2071" i="1"/>
  <c r="AG2070" i="1"/>
  <c r="AG2069" i="1"/>
  <c r="AG2068" i="1"/>
  <c r="AG2067" i="1"/>
  <c r="AG2066" i="1"/>
  <c r="AG2065" i="1"/>
  <c r="AG2064" i="1"/>
  <c r="AG2063" i="1"/>
  <c r="AG2062" i="1"/>
  <c r="AG2061" i="1"/>
  <c r="AG2060" i="1"/>
  <c r="AG2059" i="1"/>
  <c r="AG2058" i="1"/>
  <c r="AG2057" i="1"/>
  <c r="AG2056" i="1"/>
  <c r="AG2055" i="1"/>
  <c r="AG2054" i="1"/>
  <c r="AG2053" i="1"/>
  <c r="AG2052" i="1"/>
  <c r="AG2051" i="1"/>
  <c r="AG2050" i="1"/>
  <c r="AG2049" i="1"/>
  <c r="AG2048" i="1"/>
  <c r="AG2047" i="1"/>
  <c r="AG2046" i="1"/>
  <c r="AG2045" i="1"/>
  <c r="AG2044" i="1"/>
  <c r="AG2043" i="1"/>
  <c r="AG2042" i="1"/>
  <c r="AG2041" i="1"/>
  <c r="AG2040" i="1"/>
  <c r="AG2039" i="1"/>
  <c r="AG2038" i="1"/>
  <c r="AG2037" i="1"/>
  <c r="AG2036" i="1"/>
  <c r="AG2035" i="1"/>
  <c r="AG2034" i="1"/>
  <c r="AG2033" i="1"/>
  <c r="AG2032" i="1"/>
  <c r="AG2031" i="1"/>
  <c r="AG2030" i="1"/>
  <c r="AG2029" i="1"/>
  <c r="AG2028" i="1"/>
  <c r="AG2027" i="1"/>
  <c r="AG2026" i="1"/>
  <c r="AG2025" i="1"/>
  <c r="AG2024" i="1"/>
  <c r="AG2023" i="1"/>
  <c r="AG2022" i="1"/>
  <c r="AG2021" i="1"/>
  <c r="AG2020" i="1"/>
  <c r="AG2019" i="1"/>
  <c r="AG2018" i="1"/>
  <c r="AG2017" i="1"/>
  <c r="AG2016" i="1"/>
  <c r="AG2015" i="1"/>
  <c r="AG2014" i="1"/>
  <c r="AG2013" i="1"/>
  <c r="AG2012" i="1"/>
  <c r="AG2011" i="1"/>
  <c r="AG2010" i="1"/>
  <c r="AG2009" i="1"/>
  <c r="AG2008" i="1"/>
  <c r="AG2007" i="1"/>
  <c r="AG2006" i="1"/>
  <c r="AG2005" i="1"/>
  <c r="AG2004" i="1"/>
  <c r="AG2003" i="1"/>
  <c r="AG2002" i="1"/>
  <c r="AG2001" i="1"/>
  <c r="AG2000" i="1"/>
  <c r="AG1999" i="1"/>
  <c r="AG1998" i="1"/>
  <c r="AG1997" i="1"/>
  <c r="AG1996" i="1"/>
  <c r="AG1995" i="1"/>
  <c r="AG1994" i="1"/>
  <c r="AG1993" i="1"/>
  <c r="AG1992" i="1"/>
  <c r="AG1991" i="1"/>
  <c r="AG1990" i="1"/>
  <c r="AG1989" i="1"/>
  <c r="AG1988" i="1"/>
  <c r="AG1987" i="1"/>
  <c r="AG1986" i="1"/>
  <c r="AG1985" i="1"/>
  <c r="AG1984" i="1"/>
  <c r="AG1983" i="1"/>
  <c r="AG1982" i="1"/>
  <c r="AG1981" i="1"/>
  <c r="AG1980" i="1"/>
  <c r="AG1979" i="1"/>
  <c r="AG1978" i="1"/>
  <c r="AG1977" i="1"/>
  <c r="AG1976" i="1"/>
  <c r="AG1975" i="1"/>
  <c r="AG1974" i="1"/>
  <c r="AG1973" i="1"/>
  <c r="AG1972" i="1"/>
  <c r="AG1971" i="1"/>
  <c r="AG1970" i="1"/>
  <c r="AG1969" i="1"/>
  <c r="AG1968" i="1"/>
  <c r="AG1967" i="1"/>
  <c r="AG1966" i="1"/>
  <c r="AG1965" i="1"/>
  <c r="AG1964" i="1"/>
  <c r="AG1963" i="1"/>
  <c r="AG1962" i="1"/>
  <c r="AG1961" i="1"/>
  <c r="AG1960" i="1"/>
  <c r="AG1959" i="1"/>
  <c r="AG1958" i="1"/>
  <c r="AG1957" i="1"/>
  <c r="AG1956" i="1"/>
  <c r="AG1955" i="1"/>
  <c r="AG1954" i="1"/>
  <c r="AG1953" i="1"/>
  <c r="AG1952" i="1"/>
  <c r="AG1951" i="1"/>
  <c r="AG1950" i="1"/>
  <c r="AG1949" i="1"/>
  <c r="AG1948" i="1"/>
  <c r="AG1947" i="1"/>
  <c r="AG1946" i="1"/>
  <c r="AG1945" i="1"/>
  <c r="AG1944" i="1"/>
  <c r="AG1943" i="1"/>
  <c r="AG1942" i="1"/>
  <c r="AG1941" i="1"/>
  <c r="AG1940" i="1"/>
  <c r="AG1939" i="1"/>
  <c r="AG1938" i="1"/>
  <c r="AG1937" i="1"/>
  <c r="AG1936" i="1"/>
  <c r="AG1935" i="1"/>
  <c r="AG1934" i="1"/>
  <c r="AG1933" i="1"/>
  <c r="AG1932" i="1"/>
  <c r="AG1931" i="1"/>
  <c r="AG1930" i="1"/>
  <c r="AG1929" i="1"/>
  <c r="AG1928" i="1"/>
  <c r="AG1927" i="1"/>
  <c r="AG1926" i="1"/>
  <c r="AG1925" i="1"/>
  <c r="AG1924" i="1"/>
  <c r="AG1923" i="1"/>
  <c r="AG1922" i="1"/>
  <c r="AG1921" i="1"/>
  <c r="AG1920" i="1"/>
  <c r="AG1919" i="1"/>
  <c r="AG1918" i="1"/>
  <c r="AG1917" i="1"/>
  <c r="AG1916" i="1"/>
  <c r="AG1915" i="1"/>
  <c r="AG1914" i="1"/>
  <c r="AG1913" i="1"/>
  <c r="AG1912" i="1"/>
  <c r="AG1911" i="1"/>
  <c r="AG1910" i="1"/>
  <c r="AG1909" i="1"/>
  <c r="AG1908" i="1"/>
  <c r="AG1907" i="1"/>
  <c r="AG1906" i="1"/>
  <c r="AG1905" i="1"/>
  <c r="AG1904" i="1"/>
  <c r="AG1903" i="1"/>
  <c r="AG1902" i="1"/>
  <c r="AG1901" i="1"/>
  <c r="AG1900" i="1"/>
  <c r="AG1899" i="1"/>
  <c r="AG1898" i="1"/>
  <c r="AG1897" i="1"/>
  <c r="AG1896" i="1"/>
  <c r="AG1895" i="1"/>
  <c r="AG1894" i="1"/>
  <c r="AG1893" i="1"/>
  <c r="AG1892" i="1"/>
  <c r="AG1891" i="1"/>
  <c r="AG1890" i="1"/>
  <c r="AG1889" i="1"/>
  <c r="AG1888" i="1"/>
  <c r="AG1887" i="1"/>
  <c r="AG1886" i="1"/>
  <c r="AG1885" i="1"/>
  <c r="AG1884" i="1"/>
  <c r="AG1883" i="1"/>
  <c r="AG1882" i="1"/>
  <c r="AG1881" i="1"/>
  <c r="AG1880" i="1"/>
  <c r="AG1879" i="1"/>
  <c r="AG1878" i="1"/>
  <c r="AG1877" i="1"/>
  <c r="AG1876" i="1"/>
  <c r="AG1875" i="1"/>
  <c r="AG1874" i="1"/>
  <c r="AG1873" i="1"/>
  <c r="AG1872" i="1"/>
  <c r="AG1871" i="1"/>
  <c r="AG1870" i="1"/>
  <c r="AG1869" i="1"/>
  <c r="AG1868" i="1"/>
  <c r="AG1867" i="1"/>
  <c r="AG1866" i="1"/>
  <c r="AG1865" i="1"/>
  <c r="AG1864" i="1"/>
  <c r="AG1863" i="1"/>
  <c r="AG1862" i="1"/>
  <c r="AG1861" i="1"/>
  <c r="AG1860" i="1"/>
  <c r="AG1859" i="1"/>
  <c r="AG1858" i="1"/>
  <c r="AG1857" i="1"/>
  <c r="AG1856" i="1"/>
  <c r="AG1855" i="1"/>
  <c r="AG1854" i="1"/>
  <c r="AG1853" i="1"/>
  <c r="AG1852" i="1"/>
  <c r="AG1851" i="1"/>
  <c r="AG1850" i="1"/>
  <c r="AG1849" i="1"/>
  <c r="AG1848" i="1"/>
  <c r="AG1847" i="1"/>
  <c r="AG1846" i="1"/>
  <c r="AG1845" i="1"/>
  <c r="AG1844" i="1"/>
  <c r="AG1843" i="1"/>
  <c r="AG1842" i="1"/>
  <c r="AG1841" i="1"/>
  <c r="AG1840" i="1"/>
  <c r="AG1839" i="1"/>
  <c r="AG1838" i="1"/>
  <c r="AG1837" i="1"/>
  <c r="AG1836" i="1"/>
  <c r="AG1835" i="1"/>
  <c r="AG1834" i="1"/>
  <c r="AG1833" i="1"/>
  <c r="AG1832" i="1"/>
  <c r="AG1831" i="1"/>
  <c r="AG1830" i="1"/>
  <c r="AG1829" i="1"/>
  <c r="AG1828" i="1"/>
  <c r="AG1827" i="1"/>
  <c r="AG1826" i="1"/>
  <c r="AG1825" i="1"/>
  <c r="AG1824" i="1"/>
  <c r="AG1823" i="1"/>
  <c r="AG1822" i="1"/>
  <c r="AG1821" i="1"/>
  <c r="AG1820" i="1"/>
  <c r="AG1819" i="1"/>
  <c r="AG1818" i="1"/>
  <c r="AG1817" i="1"/>
  <c r="AG1816" i="1"/>
  <c r="AG1815" i="1"/>
  <c r="AG1814" i="1"/>
  <c r="AG1813" i="1"/>
  <c r="AG1812" i="1"/>
  <c r="AG1811" i="1"/>
  <c r="AG1810" i="1"/>
  <c r="AG1809" i="1"/>
  <c r="AG1808" i="1"/>
  <c r="AG1807" i="1"/>
  <c r="AG1806" i="1"/>
  <c r="AG1805" i="1"/>
  <c r="AG1804" i="1"/>
  <c r="AG1803" i="1"/>
  <c r="AG1802" i="1"/>
  <c r="AG1801" i="1"/>
  <c r="AG1800" i="1"/>
  <c r="AG1799" i="1"/>
  <c r="AG1798" i="1"/>
  <c r="AG1797" i="1"/>
  <c r="AG1796" i="1"/>
  <c r="AG1795" i="1"/>
  <c r="AG1794" i="1"/>
  <c r="AG1793" i="1"/>
  <c r="AG1792" i="1"/>
  <c r="AG1791" i="1"/>
  <c r="AG1790" i="1"/>
  <c r="AG1789" i="1"/>
  <c r="AG1788" i="1"/>
  <c r="AG1787" i="1"/>
  <c r="AG1786" i="1"/>
  <c r="AG1785" i="1"/>
  <c r="AG1784" i="1"/>
  <c r="AG1783" i="1"/>
  <c r="AG1782" i="1"/>
  <c r="AG1781" i="1"/>
  <c r="AG1780" i="1"/>
  <c r="AG1779" i="1"/>
  <c r="AG1778" i="1"/>
  <c r="AG1777" i="1"/>
  <c r="AG1776" i="1"/>
  <c r="AG1775" i="1"/>
  <c r="AG1774" i="1"/>
  <c r="AG1773" i="1"/>
  <c r="AG1772" i="1"/>
  <c r="AG1771" i="1"/>
  <c r="AG1770" i="1"/>
  <c r="AG1769" i="1"/>
  <c r="AG1768" i="1"/>
  <c r="AG1767" i="1"/>
  <c r="AG1766" i="1"/>
  <c r="AG1765" i="1"/>
  <c r="AG1764" i="1"/>
  <c r="AG1763" i="1"/>
  <c r="AG1762" i="1"/>
  <c r="AG1761" i="1"/>
  <c r="AG1760" i="1"/>
  <c r="AG1759" i="1"/>
  <c r="AG1758" i="1"/>
  <c r="AG1757" i="1"/>
  <c r="AG1756" i="1"/>
  <c r="AG1755" i="1"/>
  <c r="AG1754" i="1"/>
  <c r="AG1753" i="1"/>
  <c r="AG1752" i="1"/>
  <c r="AG1751" i="1"/>
  <c r="AG1750" i="1"/>
  <c r="AG1749" i="1"/>
  <c r="AG1748" i="1"/>
  <c r="AG1747" i="1"/>
  <c r="AG1746" i="1"/>
  <c r="AG1745" i="1"/>
  <c r="AG1744" i="1"/>
  <c r="AG1743" i="1"/>
  <c r="AG1742" i="1"/>
  <c r="AG1741" i="1"/>
  <c r="AG1740" i="1"/>
  <c r="AG1739" i="1"/>
  <c r="AG1738" i="1"/>
  <c r="AG1737" i="1"/>
  <c r="AG1736" i="1"/>
  <c r="AG1735" i="1"/>
  <c r="AG1734" i="1"/>
  <c r="AG1733" i="1"/>
  <c r="AG1732" i="1"/>
  <c r="AG1731" i="1"/>
  <c r="AG1730" i="1"/>
  <c r="AG1729" i="1"/>
  <c r="AG1728" i="1"/>
  <c r="AG1727" i="1"/>
  <c r="AG1726" i="1"/>
  <c r="AG1725" i="1"/>
  <c r="AG1724" i="1"/>
  <c r="AG1723" i="1"/>
  <c r="AG1722" i="1"/>
  <c r="AG1721" i="1"/>
  <c r="AG1720" i="1"/>
  <c r="AG1719" i="1"/>
  <c r="AG1718" i="1"/>
  <c r="AG1717" i="1"/>
  <c r="AG1716" i="1"/>
  <c r="AG1715" i="1"/>
  <c r="AG1714" i="1"/>
  <c r="AG1713" i="1"/>
  <c r="AG1712" i="1"/>
  <c r="AG1711" i="1"/>
  <c r="AG1710" i="1"/>
  <c r="AG1709" i="1"/>
  <c r="AG1708" i="1"/>
  <c r="AG1707" i="1"/>
  <c r="AG1706" i="1"/>
  <c r="AG1705" i="1"/>
  <c r="AG1704" i="1"/>
  <c r="AG1703" i="1"/>
  <c r="AG1702" i="1"/>
  <c r="AG1701" i="1"/>
  <c r="AG1700" i="1"/>
  <c r="AG1699" i="1"/>
  <c r="AG1698" i="1"/>
  <c r="AG1697" i="1"/>
  <c r="AG1696" i="1"/>
  <c r="AG1695" i="1"/>
  <c r="AG1694" i="1"/>
  <c r="AG1693" i="1"/>
  <c r="AG1692" i="1"/>
  <c r="AG1691" i="1"/>
  <c r="AG1690" i="1"/>
  <c r="AG1689" i="1"/>
  <c r="AG1688" i="1"/>
  <c r="AG1687" i="1"/>
  <c r="AG1686" i="1"/>
  <c r="AG1685" i="1"/>
  <c r="AG1684" i="1"/>
  <c r="AG1683" i="1"/>
  <c r="AG1682" i="1"/>
  <c r="AG1681" i="1"/>
  <c r="AG1680" i="1"/>
  <c r="AG1679" i="1"/>
  <c r="AG1678" i="1"/>
  <c r="AG1677" i="1"/>
  <c r="AG1676" i="1"/>
  <c r="AG1675" i="1"/>
  <c r="AG1674" i="1"/>
  <c r="AG1673" i="1"/>
  <c r="AG1672" i="1"/>
  <c r="AG1671" i="1"/>
  <c r="AG1670" i="1"/>
  <c r="AG1669" i="1"/>
  <c r="AG1668" i="1"/>
  <c r="AG1667" i="1"/>
  <c r="AG1666" i="1"/>
  <c r="AG1665" i="1"/>
  <c r="AG1664" i="1"/>
  <c r="AG1663" i="1"/>
  <c r="AG1662" i="1"/>
  <c r="AG1661" i="1"/>
  <c r="AG1660" i="1"/>
  <c r="AG1659" i="1"/>
  <c r="AG1658" i="1"/>
  <c r="AG1657" i="1"/>
  <c r="AG1656" i="1"/>
  <c r="AG1655" i="1"/>
  <c r="AG1654" i="1"/>
  <c r="AG1653" i="1"/>
  <c r="AG1652" i="1"/>
  <c r="AG1651" i="1"/>
  <c r="AG1650" i="1"/>
  <c r="AG1649" i="1"/>
  <c r="AG1648" i="1"/>
  <c r="AG1647" i="1"/>
  <c r="AG1646" i="1"/>
  <c r="AG1645" i="1"/>
  <c r="AG1644" i="1"/>
  <c r="AG1643" i="1"/>
  <c r="AG1642" i="1"/>
  <c r="AG1641" i="1"/>
  <c r="AG1640" i="1"/>
  <c r="AG1639" i="1"/>
  <c r="AG1638" i="1"/>
  <c r="AG1637" i="1"/>
  <c r="AG1636" i="1"/>
  <c r="AG1635" i="1"/>
  <c r="AG1634" i="1"/>
  <c r="AG1633" i="1"/>
  <c r="AG1632" i="1"/>
  <c r="AG1631" i="1"/>
  <c r="AG1630" i="1"/>
  <c r="AG1629" i="1"/>
  <c r="AG1628" i="1"/>
  <c r="AG1627" i="1"/>
  <c r="AG1626" i="1"/>
  <c r="AG1625" i="1"/>
  <c r="AG1624" i="1"/>
  <c r="AG1623" i="1"/>
  <c r="AG1622" i="1"/>
  <c r="AG1621" i="1"/>
  <c r="AG1620" i="1"/>
  <c r="AG1619" i="1"/>
  <c r="AG1618" i="1"/>
  <c r="AG1617" i="1"/>
  <c r="AG1616" i="1"/>
  <c r="AG1615" i="1"/>
  <c r="AG1614" i="1"/>
  <c r="AG1613" i="1"/>
  <c r="AG1612" i="1"/>
  <c r="AG1611" i="1"/>
  <c r="AG1610" i="1"/>
  <c r="AG1609" i="1"/>
  <c r="AG1608" i="1"/>
  <c r="AG1607" i="1"/>
  <c r="AG1606" i="1"/>
  <c r="AG1605" i="1"/>
  <c r="AG1604" i="1"/>
  <c r="AG1603" i="1"/>
  <c r="AG1602" i="1"/>
  <c r="AG1601" i="1"/>
  <c r="AG1600" i="1"/>
  <c r="AG1599" i="1"/>
  <c r="AG1598" i="1"/>
  <c r="AG1597" i="1"/>
  <c r="AG1596" i="1"/>
  <c r="AG1595" i="1"/>
  <c r="AG1594" i="1"/>
  <c r="AG1593" i="1"/>
  <c r="AG1592" i="1"/>
  <c r="AG1591" i="1"/>
  <c r="AG1590" i="1"/>
  <c r="AG1589" i="1"/>
  <c r="AG1588" i="1"/>
  <c r="AG1587" i="1"/>
  <c r="AG1586" i="1"/>
  <c r="AG1585" i="1"/>
  <c r="AG1584" i="1"/>
  <c r="AG1583" i="1"/>
  <c r="AG1582" i="1"/>
  <c r="AG1581" i="1"/>
  <c r="AG1580" i="1"/>
  <c r="AG1579" i="1"/>
  <c r="AG1578" i="1"/>
  <c r="AG1577" i="1"/>
  <c r="AG1576" i="1"/>
  <c r="AG1575" i="1"/>
  <c r="AG1574" i="1"/>
  <c r="AG1573" i="1"/>
  <c r="AG1572" i="1"/>
  <c r="AG1571" i="1"/>
  <c r="AG1570" i="1"/>
  <c r="AG1569" i="1"/>
  <c r="AG1568" i="1"/>
  <c r="AG1567" i="1"/>
  <c r="AG1566" i="1"/>
  <c r="AG1565" i="1"/>
  <c r="AG1564" i="1"/>
  <c r="AG1563" i="1"/>
  <c r="AG1562" i="1"/>
  <c r="AG1561" i="1"/>
  <c r="AG1560" i="1"/>
  <c r="AG1559" i="1"/>
  <c r="AG1558" i="1"/>
  <c r="AG1557" i="1"/>
  <c r="AG1556" i="1"/>
  <c r="AG1555" i="1"/>
  <c r="AG1554" i="1"/>
  <c r="AG1553" i="1"/>
  <c r="AG1552" i="1"/>
  <c r="AG1551" i="1"/>
  <c r="AG1550" i="1"/>
  <c r="AG1549" i="1"/>
  <c r="AG1548" i="1"/>
  <c r="AG1547" i="1"/>
  <c r="AG1546" i="1"/>
  <c r="AG1545" i="1"/>
  <c r="AG1544" i="1"/>
  <c r="AG1543" i="1"/>
  <c r="AG1542" i="1"/>
  <c r="AG1541" i="1"/>
  <c r="AG1540" i="1"/>
  <c r="AG1539" i="1"/>
  <c r="AG1538" i="1"/>
  <c r="AG1537" i="1"/>
  <c r="AG1536" i="1"/>
  <c r="AG1535" i="1"/>
  <c r="AG1534" i="1"/>
  <c r="AG1533" i="1"/>
  <c r="AG1532" i="1"/>
  <c r="AG1531" i="1"/>
  <c r="AG1530" i="1"/>
  <c r="AG1529" i="1"/>
  <c r="AG1528" i="1"/>
  <c r="AG1527" i="1"/>
  <c r="AG1526" i="1"/>
  <c r="AG1525" i="1"/>
  <c r="AG1524" i="1"/>
  <c r="AG1523" i="1"/>
  <c r="AG1522" i="1"/>
  <c r="AG1521" i="1"/>
  <c r="AG1520" i="1"/>
  <c r="AG1519" i="1"/>
  <c r="AG1518" i="1"/>
  <c r="AG1517" i="1"/>
  <c r="AG1516" i="1"/>
  <c r="AG1515" i="1"/>
  <c r="AG1514" i="1"/>
  <c r="AG1513" i="1"/>
  <c r="AG1512" i="1"/>
  <c r="AG1511" i="1"/>
  <c r="AG1510" i="1"/>
  <c r="AG1509" i="1"/>
  <c r="AG1508" i="1"/>
  <c r="AG1507" i="1"/>
  <c r="AG1506" i="1"/>
  <c r="AG1505" i="1"/>
  <c r="AG1504" i="1"/>
  <c r="AG1503" i="1"/>
  <c r="AG1502" i="1"/>
  <c r="AG1501" i="1"/>
  <c r="AG1500" i="1"/>
  <c r="AG1499" i="1"/>
  <c r="AG1498" i="1"/>
  <c r="AG1497" i="1"/>
  <c r="AG1496" i="1"/>
  <c r="AG1495" i="1"/>
  <c r="AG1494" i="1"/>
  <c r="AG1493" i="1"/>
  <c r="AG1492" i="1"/>
  <c r="AG1491" i="1"/>
  <c r="AG1490" i="1"/>
  <c r="AG1489" i="1"/>
  <c r="AG1488" i="1"/>
  <c r="AG1487" i="1"/>
  <c r="AG1486" i="1"/>
  <c r="AG1485" i="1"/>
  <c r="AG1484" i="1"/>
  <c r="AG1483" i="1"/>
  <c r="AG1482" i="1"/>
  <c r="AG1481" i="1"/>
  <c r="AG1480" i="1"/>
  <c r="AG1479" i="1"/>
  <c r="AG1478" i="1"/>
  <c r="AG1477" i="1"/>
  <c r="AG1476" i="1"/>
  <c r="AG1475" i="1"/>
  <c r="AG1474" i="1"/>
  <c r="AG1473" i="1"/>
  <c r="AG1472" i="1"/>
  <c r="AG1471" i="1"/>
  <c r="AG1470" i="1"/>
  <c r="AG1469" i="1"/>
  <c r="AG1468" i="1"/>
  <c r="AG1467" i="1"/>
  <c r="AG1466" i="1"/>
  <c r="AG1465" i="1"/>
  <c r="AG1464" i="1"/>
  <c r="AG1463" i="1"/>
  <c r="AG1462" i="1"/>
  <c r="AG1461" i="1"/>
  <c r="AG1460" i="1"/>
  <c r="AG1459" i="1"/>
  <c r="AG1458" i="1"/>
  <c r="AG1457" i="1"/>
  <c r="AG1456" i="1"/>
  <c r="AG1455" i="1"/>
  <c r="AG1454" i="1"/>
  <c r="AG1453" i="1"/>
  <c r="AG1452" i="1"/>
  <c r="AG1451" i="1"/>
  <c r="AG1450" i="1"/>
  <c r="AG1449" i="1"/>
  <c r="AG1448" i="1"/>
  <c r="AG1447" i="1"/>
  <c r="AG1446" i="1"/>
  <c r="AG1445" i="1"/>
  <c r="AG1444" i="1"/>
  <c r="AG1443" i="1"/>
  <c r="AG1442" i="1"/>
  <c r="AG1441" i="1"/>
  <c r="AG1440" i="1"/>
  <c r="AG1439" i="1"/>
  <c r="AG1438" i="1"/>
  <c r="AG1437" i="1"/>
  <c r="AG1436" i="1"/>
  <c r="AG1435" i="1"/>
  <c r="AG1434" i="1"/>
  <c r="AG1433" i="1"/>
  <c r="AG1432" i="1"/>
  <c r="AG1431" i="1"/>
  <c r="AG1430" i="1"/>
  <c r="AG1429" i="1"/>
  <c r="AG1428" i="1"/>
  <c r="AG1427" i="1"/>
  <c r="AG1426" i="1"/>
  <c r="AG1425" i="1"/>
  <c r="AG1424" i="1"/>
  <c r="AG1423" i="1"/>
  <c r="AG1422" i="1"/>
  <c r="AG1421" i="1"/>
  <c r="AG1420" i="1"/>
  <c r="AG1419" i="1"/>
  <c r="AG1418" i="1"/>
  <c r="AG1417" i="1"/>
  <c r="AG1416" i="1"/>
  <c r="AG1415" i="1"/>
  <c r="AG1414" i="1"/>
  <c r="AG1413" i="1"/>
  <c r="AG1412" i="1"/>
  <c r="AG1411" i="1"/>
  <c r="AG1410" i="1"/>
  <c r="AG1409" i="1"/>
  <c r="AG1408" i="1"/>
  <c r="AG1407" i="1"/>
  <c r="AG1406" i="1"/>
  <c r="AG1405" i="1"/>
  <c r="AG1404" i="1"/>
  <c r="AG1403" i="1"/>
  <c r="AG1402" i="1"/>
  <c r="AG1401" i="1"/>
  <c r="AG1400" i="1"/>
  <c r="AG1399" i="1"/>
  <c r="AG1398" i="1"/>
  <c r="AG1397" i="1"/>
  <c r="AG1396" i="1"/>
  <c r="AG1395" i="1"/>
  <c r="AG1394" i="1"/>
  <c r="AG1393" i="1"/>
  <c r="AG1392" i="1"/>
  <c r="AG1391" i="1"/>
  <c r="AG1390" i="1"/>
  <c r="AG1389" i="1"/>
  <c r="AG1388" i="1"/>
  <c r="AG1387" i="1"/>
  <c r="AG1386" i="1"/>
  <c r="AG1385" i="1"/>
  <c r="AG1384" i="1"/>
  <c r="AG1383" i="1"/>
  <c r="AG1382" i="1"/>
  <c r="AG1381" i="1"/>
  <c r="AG1380" i="1"/>
  <c r="AG1379" i="1"/>
  <c r="AG1378" i="1"/>
  <c r="AG1377" i="1"/>
  <c r="AG1376" i="1"/>
  <c r="AG1375" i="1"/>
  <c r="AG1374" i="1"/>
  <c r="AG1373" i="1"/>
  <c r="AG1372" i="1"/>
  <c r="AG1371" i="1"/>
  <c r="AG1370" i="1"/>
  <c r="AG1369" i="1"/>
  <c r="AG1368" i="1"/>
  <c r="AG1367" i="1"/>
  <c r="AG1366" i="1"/>
  <c r="AG1365" i="1"/>
  <c r="AG1364" i="1"/>
  <c r="AG1363" i="1"/>
  <c r="AG1362" i="1"/>
  <c r="AG1361" i="1"/>
  <c r="AG1360" i="1"/>
  <c r="AG1359" i="1"/>
  <c r="AG1358" i="1"/>
  <c r="AG1357" i="1"/>
  <c r="AG1356" i="1"/>
  <c r="AG1355" i="1"/>
  <c r="AG1354" i="1"/>
  <c r="AG1353" i="1"/>
  <c r="AG1352" i="1"/>
  <c r="AG1351" i="1"/>
  <c r="AG1350" i="1"/>
  <c r="AG1349" i="1"/>
  <c r="AG1348" i="1"/>
  <c r="AG1347" i="1"/>
  <c r="AG1346" i="1"/>
  <c r="AG1345" i="1"/>
  <c r="AG1344" i="1"/>
  <c r="AG1343" i="1"/>
  <c r="AG1342" i="1"/>
  <c r="AG1341" i="1"/>
  <c r="AG1340" i="1"/>
  <c r="AG1339" i="1"/>
  <c r="AG1338" i="1"/>
  <c r="AG1337" i="1"/>
  <c r="AG1336" i="1"/>
  <c r="AG1335" i="1"/>
  <c r="AG1334" i="1"/>
  <c r="AG1333" i="1"/>
  <c r="AG1332" i="1"/>
  <c r="AG1331" i="1"/>
  <c r="AG1330" i="1"/>
  <c r="AG1329" i="1"/>
  <c r="AG1328" i="1"/>
  <c r="AG1327" i="1"/>
  <c r="AG1326" i="1"/>
  <c r="AG1325" i="1"/>
  <c r="AG1324" i="1"/>
  <c r="AG1323" i="1"/>
  <c r="AG1322" i="1"/>
  <c r="AG1321" i="1"/>
  <c r="AG1320" i="1"/>
  <c r="AG1319" i="1"/>
  <c r="AG1318" i="1"/>
  <c r="AG1317" i="1"/>
  <c r="AG1316" i="1"/>
  <c r="AG1315" i="1"/>
  <c r="AG1314" i="1"/>
  <c r="AG1313" i="1"/>
  <c r="AG1312" i="1"/>
  <c r="AG1311" i="1"/>
  <c r="AG1310" i="1"/>
  <c r="AG1309" i="1"/>
  <c r="AG1308" i="1"/>
  <c r="AG1307" i="1"/>
  <c r="AG1306" i="1"/>
  <c r="AG1305" i="1"/>
  <c r="AG1304" i="1"/>
  <c r="AG1303" i="1"/>
  <c r="AG1302" i="1"/>
  <c r="AG1301" i="1"/>
  <c r="AG1300" i="1"/>
  <c r="AG1299" i="1"/>
  <c r="AG1298" i="1"/>
  <c r="AG1297" i="1"/>
  <c r="AG1296" i="1"/>
  <c r="AG1295" i="1"/>
  <c r="AG1294" i="1"/>
  <c r="AG1293" i="1"/>
  <c r="AG1292" i="1"/>
  <c r="AG1291" i="1"/>
  <c r="AG1290" i="1"/>
  <c r="AG1289" i="1"/>
  <c r="AG1288" i="1"/>
  <c r="AG1287" i="1"/>
  <c r="AG1286" i="1"/>
  <c r="AG1285" i="1"/>
  <c r="AG1284" i="1"/>
  <c r="AG1283" i="1"/>
  <c r="AG1282" i="1"/>
  <c r="AG1281" i="1"/>
  <c r="AG1280" i="1"/>
  <c r="AG1279" i="1"/>
  <c r="AG1278" i="1"/>
  <c r="AG1277" i="1"/>
  <c r="AG1276" i="1"/>
  <c r="AG1275" i="1"/>
  <c r="AG1274" i="1"/>
  <c r="AG1273" i="1"/>
  <c r="AG1272" i="1"/>
  <c r="AG1271" i="1"/>
  <c r="AG1270" i="1"/>
  <c r="AG1269" i="1"/>
  <c r="AG1268" i="1"/>
  <c r="AG1267" i="1"/>
  <c r="AG1266" i="1"/>
  <c r="AG1265" i="1"/>
  <c r="AG1264" i="1"/>
  <c r="AG1263" i="1"/>
  <c r="AG1262" i="1"/>
  <c r="AG1261" i="1"/>
  <c r="AG1260" i="1"/>
  <c r="AG1259" i="1"/>
  <c r="AG1258" i="1"/>
  <c r="AG1257" i="1"/>
  <c r="AG1256" i="1"/>
  <c r="AG1255" i="1"/>
  <c r="AG1254" i="1"/>
  <c r="AG1253" i="1"/>
  <c r="AG1252" i="1"/>
  <c r="AG1251" i="1"/>
  <c r="AG1250" i="1"/>
  <c r="AG1249" i="1"/>
  <c r="AG1248" i="1"/>
  <c r="AG1247" i="1"/>
  <c r="AG1246" i="1"/>
  <c r="AG1245" i="1"/>
  <c r="AG1244" i="1"/>
  <c r="AG1243" i="1"/>
  <c r="AG1242" i="1"/>
  <c r="AG1241" i="1"/>
  <c r="AG1240" i="1"/>
  <c r="AG1239" i="1"/>
  <c r="AG1238" i="1"/>
  <c r="AG1237" i="1"/>
  <c r="AG1236" i="1"/>
  <c r="AG1235" i="1"/>
  <c r="AG1234" i="1"/>
  <c r="AG1233" i="1"/>
  <c r="AG1232" i="1"/>
  <c r="AG1231" i="1"/>
  <c r="AG1230" i="1"/>
  <c r="AG1229" i="1"/>
  <c r="AG1228" i="1"/>
  <c r="AG1227" i="1"/>
  <c r="AG1226" i="1"/>
  <c r="AG1225" i="1"/>
  <c r="AG1224" i="1"/>
  <c r="AG1223" i="1"/>
  <c r="AG1222" i="1"/>
  <c r="AG1221" i="1"/>
  <c r="AG1220" i="1"/>
  <c r="AG1219" i="1"/>
  <c r="AG1218" i="1"/>
  <c r="AG1217" i="1"/>
  <c r="AG1216" i="1"/>
  <c r="AG1215" i="1"/>
  <c r="AG1214" i="1"/>
  <c r="AG1213" i="1"/>
  <c r="AG1212" i="1"/>
  <c r="AG1211" i="1"/>
  <c r="AG1210" i="1"/>
  <c r="AG1209" i="1"/>
  <c r="AG1208" i="1"/>
  <c r="AG1207" i="1"/>
  <c r="AG1206" i="1"/>
  <c r="AG1205" i="1"/>
  <c r="AG1204" i="1"/>
  <c r="AG1203" i="1"/>
  <c r="AG1202" i="1"/>
  <c r="AG1201" i="1"/>
  <c r="AG1200" i="1"/>
  <c r="AG1199" i="1"/>
  <c r="AG1198" i="1"/>
  <c r="AG1197" i="1"/>
  <c r="AG1196" i="1"/>
  <c r="AG1195" i="1"/>
  <c r="AG1194" i="1"/>
  <c r="AG1193" i="1"/>
  <c r="AG1192" i="1"/>
  <c r="AG1191" i="1"/>
  <c r="AG1190" i="1"/>
  <c r="AG1189" i="1"/>
  <c r="AG1188" i="1"/>
  <c r="AG1187" i="1"/>
  <c r="AG1186" i="1"/>
  <c r="AG1185" i="1"/>
  <c r="AG1184" i="1"/>
  <c r="AG1183" i="1"/>
  <c r="AG1182" i="1"/>
  <c r="AG1181" i="1"/>
  <c r="AG1180" i="1"/>
  <c r="AG1179" i="1"/>
  <c r="AG1178" i="1"/>
  <c r="AG1177" i="1"/>
  <c r="AG1176" i="1"/>
  <c r="AG1175" i="1"/>
  <c r="AG1174" i="1"/>
  <c r="AG1173" i="1"/>
  <c r="AG1172" i="1"/>
  <c r="AG1171" i="1"/>
  <c r="AG1170" i="1"/>
  <c r="AG1169" i="1"/>
  <c r="AG1168" i="1"/>
  <c r="AG1167" i="1"/>
  <c r="AG1166" i="1"/>
  <c r="AG1165" i="1"/>
  <c r="AG1164" i="1"/>
  <c r="AG1163" i="1"/>
  <c r="AG1162" i="1"/>
  <c r="AG1161" i="1"/>
  <c r="AG1160" i="1"/>
  <c r="AG1159" i="1"/>
  <c r="AG1158" i="1"/>
  <c r="AG1157" i="1"/>
  <c r="AG1156" i="1"/>
  <c r="AG1155" i="1"/>
  <c r="AG1154" i="1"/>
  <c r="AG1153" i="1"/>
  <c r="AG1152" i="1"/>
  <c r="AG1151" i="1"/>
  <c r="AG1150" i="1"/>
  <c r="AG1149" i="1"/>
  <c r="AG1148" i="1"/>
  <c r="AG1147" i="1"/>
  <c r="AG1146" i="1"/>
  <c r="AG1145" i="1"/>
  <c r="AG1144" i="1"/>
  <c r="AG1143" i="1"/>
  <c r="AG1142" i="1"/>
  <c r="AG1141" i="1"/>
  <c r="AG1140" i="1"/>
  <c r="AG1139" i="1"/>
  <c r="AG1138" i="1"/>
  <c r="AG1137" i="1"/>
  <c r="AG1136" i="1"/>
  <c r="AG1135" i="1"/>
  <c r="AG1134" i="1"/>
  <c r="AG1133" i="1"/>
  <c r="AG1132" i="1"/>
  <c r="AG1131" i="1"/>
  <c r="AG1130" i="1"/>
  <c r="AG1129" i="1"/>
  <c r="AG1128" i="1"/>
  <c r="AG1127" i="1"/>
  <c r="AG1126" i="1"/>
  <c r="AG1125" i="1"/>
  <c r="AG1124" i="1"/>
  <c r="AG1123" i="1"/>
  <c r="AG1122" i="1"/>
  <c r="AG1121" i="1"/>
  <c r="AG1120" i="1"/>
  <c r="AG1119" i="1"/>
  <c r="AG1118" i="1"/>
  <c r="AG1117" i="1"/>
  <c r="AG1116" i="1"/>
  <c r="AG1115" i="1"/>
  <c r="AG1114" i="1"/>
  <c r="AG1113" i="1"/>
  <c r="AG1112" i="1"/>
  <c r="AG1111" i="1"/>
  <c r="AG1110" i="1"/>
  <c r="AG1109" i="1"/>
  <c r="AG1108" i="1"/>
  <c r="AG1107" i="1"/>
  <c r="AG1106" i="1"/>
  <c r="AG1105" i="1"/>
  <c r="AG1104" i="1"/>
  <c r="AG1103" i="1"/>
  <c r="AG1102" i="1"/>
  <c r="AG1101" i="1"/>
  <c r="AG1100" i="1"/>
  <c r="AG1099" i="1"/>
  <c r="AG1098" i="1"/>
  <c r="AG1097" i="1"/>
  <c r="AG1096" i="1"/>
  <c r="AG1095" i="1"/>
  <c r="AG1094" i="1"/>
  <c r="AG1093" i="1"/>
  <c r="AG1092" i="1"/>
  <c r="AG1091" i="1"/>
  <c r="AG1090" i="1"/>
  <c r="AG1089" i="1"/>
  <c r="AG1088" i="1"/>
  <c r="AG1087" i="1"/>
  <c r="AG1086" i="1"/>
  <c r="AG1085" i="1"/>
  <c r="AG1084" i="1"/>
  <c r="AG1083" i="1"/>
  <c r="AG1082" i="1"/>
  <c r="AG1081" i="1"/>
  <c r="AG1080" i="1"/>
  <c r="AG1079" i="1"/>
  <c r="AG1078" i="1"/>
  <c r="AG1077" i="1"/>
  <c r="AG1076" i="1"/>
  <c r="AG1075" i="1"/>
  <c r="AG1074" i="1"/>
  <c r="AG1073" i="1"/>
  <c r="AG1072" i="1"/>
  <c r="AG1071" i="1"/>
  <c r="AG1070" i="1"/>
  <c r="AG1069" i="1"/>
  <c r="AG1068" i="1"/>
  <c r="AG1067" i="1"/>
  <c r="AG1066" i="1"/>
  <c r="AG1065" i="1"/>
  <c r="AG1064" i="1"/>
  <c r="AG1063" i="1"/>
  <c r="AG1062" i="1"/>
  <c r="AG1061" i="1"/>
  <c r="AG1060" i="1"/>
  <c r="AG1059" i="1"/>
  <c r="AG1058" i="1"/>
  <c r="AG1057" i="1"/>
  <c r="AG1056" i="1"/>
  <c r="AG1055" i="1"/>
  <c r="AG1054" i="1"/>
  <c r="AG1053" i="1"/>
  <c r="AG1052" i="1"/>
  <c r="AG1051" i="1"/>
  <c r="AG1050" i="1"/>
  <c r="AG1049" i="1"/>
  <c r="AG1048" i="1"/>
  <c r="AG1047" i="1"/>
  <c r="AG1046" i="1"/>
  <c r="AG1045" i="1"/>
  <c r="AG1044" i="1"/>
  <c r="AG1043" i="1"/>
  <c r="AG1042" i="1"/>
  <c r="AG1041" i="1"/>
  <c r="AG1040" i="1"/>
  <c r="AG1039" i="1"/>
  <c r="AG1038" i="1"/>
  <c r="AG1037" i="1"/>
  <c r="AG1036" i="1"/>
  <c r="AG1035" i="1"/>
  <c r="AG1034" i="1"/>
  <c r="AG1033" i="1"/>
  <c r="AG1032" i="1"/>
  <c r="AG1031" i="1"/>
  <c r="AG1030" i="1"/>
  <c r="AG1029" i="1"/>
  <c r="AG1028" i="1"/>
  <c r="AG1027" i="1"/>
  <c r="AG1026" i="1"/>
  <c r="AG1025" i="1"/>
  <c r="AG1024" i="1"/>
  <c r="AG1023" i="1"/>
  <c r="AG1022" i="1"/>
  <c r="AG1021" i="1"/>
  <c r="AG1020" i="1"/>
  <c r="AG1019" i="1"/>
  <c r="AG1018" i="1"/>
  <c r="AG1017" i="1"/>
  <c r="AG1016" i="1"/>
  <c r="AG1015" i="1"/>
  <c r="AG1014" i="1"/>
  <c r="AG1013" i="1"/>
  <c r="AG1012" i="1"/>
  <c r="AG1011" i="1"/>
  <c r="AG1010" i="1"/>
  <c r="AG1009" i="1"/>
  <c r="AG1008" i="1"/>
  <c r="AG1007" i="1"/>
  <c r="AG1006" i="1"/>
  <c r="AG1005" i="1"/>
  <c r="AG1004" i="1"/>
  <c r="AG1003" i="1"/>
  <c r="AG1002" i="1"/>
  <c r="AG1001" i="1"/>
  <c r="AG1000" i="1"/>
  <c r="AG999" i="1"/>
  <c r="AG998" i="1"/>
  <c r="AG997" i="1"/>
  <c r="AG996" i="1"/>
  <c r="AG995" i="1"/>
  <c r="AG994" i="1"/>
  <c r="AG993" i="1"/>
  <c r="AG992" i="1"/>
  <c r="AG991" i="1"/>
  <c r="AG990" i="1"/>
  <c r="AG989" i="1"/>
  <c r="AG988" i="1"/>
  <c r="AG987" i="1"/>
  <c r="AG986" i="1"/>
  <c r="AG985" i="1"/>
  <c r="AG984" i="1"/>
  <c r="AG983" i="1"/>
  <c r="AG982" i="1"/>
  <c r="AG981" i="1"/>
  <c r="AG980" i="1"/>
  <c r="AG979" i="1"/>
  <c r="AG978" i="1"/>
  <c r="AG977" i="1"/>
  <c r="AG976" i="1"/>
  <c r="AG975" i="1"/>
  <c r="AG974" i="1"/>
  <c r="AG973" i="1"/>
  <c r="AG972" i="1"/>
  <c r="AG971" i="1"/>
  <c r="AG970" i="1"/>
  <c r="AG969" i="1"/>
  <c r="AG968" i="1"/>
  <c r="AG967" i="1"/>
  <c r="AG966" i="1"/>
  <c r="AG965" i="1"/>
  <c r="AG964" i="1"/>
  <c r="AG963" i="1"/>
  <c r="AG962" i="1"/>
  <c r="AG961" i="1"/>
  <c r="AG960" i="1"/>
  <c r="AG959" i="1"/>
  <c r="AG958" i="1"/>
  <c r="AG957" i="1"/>
  <c r="AG956" i="1"/>
  <c r="AG955" i="1"/>
  <c r="AG954" i="1"/>
  <c r="AG953" i="1"/>
  <c r="AG952" i="1"/>
  <c r="AG951" i="1"/>
  <c r="AG950" i="1"/>
  <c r="AG949" i="1"/>
  <c r="AG948" i="1"/>
  <c r="AG947" i="1"/>
  <c r="AG946" i="1"/>
  <c r="AG945" i="1"/>
  <c r="AG944" i="1"/>
  <c r="AG943" i="1"/>
  <c r="AG942" i="1"/>
  <c r="AG941" i="1"/>
  <c r="AG940" i="1"/>
  <c r="AG939" i="1"/>
  <c r="AG938" i="1"/>
  <c r="AG937" i="1"/>
  <c r="AG936" i="1"/>
  <c r="AG935" i="1"/>
  <c r="AG934" i="1"/>
  <c r="AG933" i="1"/>
  <c r="AG932" i="1"/>
  <c r="AG931" i="1"/>
  <c r="AG930" i="1"/>
  <c r="AG929" i="1"/>
  <c r="AG928" i="1"/>
  <c r="AG927" i="1"/>
  <c r="AG926" i="1"/>
  <c r="AG925" i="1"/>
  <c r="AG924" i="1"/>
  <c r="AG923" i="1"/>
  <c r="AG922" i="1"/>
  <c r="AG921" i="1"/>
  <c r="AG920" i="1"/>
  <c r="AG919" i="1"/>
  <c r="AG918" i="1"/>
  <c r="AG917" i="1"/>
  <c r="AG916" i="1"/>
  <c r="AG915" i="1"/>
  <c r="AG914" i="1"/>
  <c r="AG913" i="1"/>
  <c r="AG912" i="1"/>
  <c r="AG911" i="1"/>
  <c r="AG910" i="1"/>
  <c r="AG909" i="1"/>
  <c r="AG908" i="1"/>
  <c r="AG907" i="1"/>
  <c r="AG906" i="1"/>
  <c r="AG905" i="1"/>
  <c r="AG904" i="1"/>
  <c r="AG903" i="1"/>
  <c r="AG902" i="1"/>
  <c r="AG901" i="1"/>
  <c r="AG900" i="1"/>
  <c r="AG899" i="1"/>
  <c r="AG898" i="1"/>
  <c r="AG897" i="1"/>
  <c r="AG896" i="1"/>
  <c r="AG895" i="1"/>
  <c r="AG894" i="1"/>
  <c r="AG893" i="1"/>
  <c r="AG892" i="1"/>
  <c r="AG891" i="1"/>
  <c r="AG890" i="1"/>
  <c r="AG889" i="1"/>
  <c r="AG888" i="1"/>
  <c r="AG887" i="1"/>
  <c r="AG886" i="1"/>
  <c r="AG885" i="1"/>
  <c r="AG884" i="1"/>
  <c r="AG883" i="1"/>
  <c r="AG882" i="1"/>
  <c r="AG881" i="1"/>
  <c r="AG880" i="1"/>
  <c r="AG879" i="1"/>
  <c r="AG878" i="1"/>
  <c r="AG877" i="1"/>
  <c r="AG876" i="1"/>
  <c r="AG875" i="1"/>
  <c r="AG874" i="1"/>
  <c r="AG873" i="1"/>
  <c r="AG872" i="1"/>
  <c r="AG871" i="1"/>
  <c r="AG870" i="1"/>
  <c r="AG869" i="1"/>
  <c r="AG868" i="1"/>
  <c r="AG867" i="1"/>
  <c r="AG866" i="1"/>
  <c r="AG865" i="1"/>
  <c r="AG864" i="1"/>
  <c r="AG863" i="1"/>
  <c r="AG862" i="1"/>
  <c r="AG861" i="1"/>
  <c r="AG860" i="1"/>
  <c r="AG859" i="1"/>
  <c r="AG858" i="1"/>
  <c r="AG857" i="1"/>
  <c r="AG856" i="1"/>
  <c r="AG855" i="1"/>
  <c r="AG854" i="1"/>
  <c r="AG853" i="1"/>
  <c r="AG852" i="1"/>
  <c r="AG851" i="1"/>
  <c r="AG850" i="1"/>
  <c r="AG849" i="1"/>
  <c r="AG848" i="1"/>
  <c r="AG847" i="1"/>
  <c r="AG846" i="1"/>
  <c r="AG845" i="1"/>
  <c r="AG844" i="1"/>
  <c r="AG843" i="1"/>
  <c r="AG842" i="1"/>
  <c r="AG841" i="1"/>
  <c r="AG840" i="1"/>
  <c r="AG839" i="1"/>
  <c r="AG838" i="1"/>
  <c r="AG837" i="1"/>
  <c r="AG836" i="1"/>
  <c r="AG835" i="1"/>
  <c r="AG834" i="1"/>
  <c r="AG833" i="1"/>
  <c r="AG832" i="1"/>
  <c r="AG831" i="1"/>
  <c r="AG830" i="1"/>
  <c r="AG829" i="1"/>
  <c r="AG828" i="1"/>
  <c r="AG827" i="1"/>
  <c r="AG826" i="1"/>
  <c r="AG825" i="1"/>
  <c r="AG824" i="1"/>
  <c r="AG823" i="1"/>
  <c r="AG822" i="1"/>
  <c r="AG821" i="1"/>
  <c r="AG820" i="1"/>
  <c r="AG819" i="1"/>
  <c r="AG818" i="1"/>
  <c r="AG817" i="1"/>
  <c r="AG816" i="1"/>
  <c r="AG815" i="1"/>
  <c r="AG814" i="1"/>
  <c r="AG813" i="1"/>
  <c r="AG812" i="1"/>
  <c r="AG811" i="1"/>
  <c r="AG810" i="1"/>
  <c r="AG809" i="1"/>
  <c r="AG808" i="1"/>
  <c r="AG807" i="1"/>
  <c r="AG806" i="1"/>
  <c r="AG805" i="1"/>
  <c r="AG804" i="1"/>
  <c r="AG803" i="1"/>
  <c r="AG802" i="1"/>
  <c r="AG801" i="1"/>
  <c r="AG800" i="1"/>
  <c r="AG799" i="1"/>
  <c r="AG798" i="1"/>
  <c r="AG797" i="1"/>
  <c r="AG796" i="1"/>
  <c r="AG795" i="1"/>
  <c r="AG794" i="1"/>
  <c r="AG793" i="1"/>
  <c r="AG792" i="1"/>
  <c r="AG791" i="1"/>
  <c r="AG790" i="1"/>
  <c r="AG789" i="1"/>
  <c r="AG788" i="1"/>
  <c r="AG787" i="1"/>
  <c r="AG786" i="1"/>
  <c r="AG785" i="1"/>
  <c r="AG784" i="1"/>
  <c r="AG783" i="1"/>
  <c r="AG782" i="1"/>
  <c r="AG781" i="1"/>
  <c r="AG780" i="1"/>
  <c r="AG779" i="1"/>
  <c r="AG778" i="1"/>
  <c r="AG777" i="1"/>
  <c r="AG776" i="1"/>
  <c r="AG775" i="1"/>
  <c r="AG774" i="1"/>
  <c r="AG773" i="1"/>
  <c r="AG772" i="1"/>
  <c r="AG771" i="1"/>
  <c r="AG770" i="1"/>
  <c r="AG769" i="1"/>
  <c r="AG768" i="1"/>
  <c r="AG767" i="1"/>
  <c r="AG766" i="1"/>
  <c r="AG765" i="1"/>
  <c r="AG764" i="1"/>
  <c r="AG763" i="1"/>
  <c r="AG762" i="1"/>
  <c r="AG761" i="1"/>
  <c r="AG760" i="1"/>
  <c r="AG759" i="1"/>
  <c r="AG758" i="1"/>
  <c r="AG757" i="1"/>
  <c r="AG756" i="1"/>
  <c r="AG755" i="1"/>
  <c r="AG754" i="1"/>
  <c r="AG753" i="1"/>
  <c r="AG752" i="1"/>
  <c r="AG751" i="1"/>
  <c r="AG750" i="1"/>
  <c r="AG749" i="1"/>
  <c r="AG748" i="1"/>
  <c r="AG747" i="1"/>
  <c r="AG746" i="1"/>
  <c r="AG745" i="1"/>
  <c r="AG744" i="1"/>
  <c r="AG743" i="1"/>
  <c r="AG742" i="1"/>
  <c r="AG741" i="1"/>
  <c r="AG740" i="1"/>
  <c r="AG739" i="1"/>
  <c r="AG738" i="1"/>
  <c r="AG737" i="1"/>
  <c r="AG736" i="1"/>
  <c r="AG735" i="1"/>
  <c r="AG734" i="1"/>
  <c r="AG733" i="1"/>
  <c r="AG732" i="1"/>
  <c r="AG731" i="1"/>
  <c r="AG730" i="1"/>
  <c r="AG729" i="1"/>
  <c r="AG728" i="1"/>
  <c r="AG727" i="1"/>
  <c r="AG726" i="1"/>
  <c r="AG725" i="1"/>
  <c r="AG724" i="1"/>
  <c r="AG723" i="1"/>
  <c r="AG722" i="1"/>
  <c r="AG721" i="1"/>
  <c r="AG720" i="1"/>
  <c r="AG719" i="1"/>
  <c r="AG718" i="1"/>
  <c r="AG717" i="1"/>
  <c r="AG716" i="1"/>
  <c r="AG715" i="1"/>
  <c r="AG714" i="1"/>
  <c r="AG713" i="1"/>
  <c r="AG712" i="1"/>
  <c r="AG711" i="1"/>
  <c r="AG710" i="1"/>
  <c r="AG709" i="1"/>
  <c r="AG708" i="1"/>
  <c r="AG707" i="1"/>
  <c r="AG706" i="1"/>
  <c r="AG705" i="1"/>
  <c r="AG704" i="1"/>
  <c r="AG703" i="1"/>
  <c r="AG702" i="1"/>
  <c r="AG701" i="1"/>
  <c r="AG700" i="1"/>
  <c r="AG699" i="1"/>
  <c r="AG698" i="1"/>
  <c r="AG697" i="1"/>
  <c r="AG696" i="1"/>
  <c r="AG695" i="1"/>
  <c r="AG694" i="1"/>
  <c r="AG693" i="1"/>
  <c r="AG692" i="1"/>
  <c r="AG691" i="1"/>
  <c r="AG690" i="1"/>
  <c r="AG689" i="1"/>
  <c r="AG688" i="1"/>
  <c r="AG687" i="1"/>
  <c r="AG686" i="1"/>
  <c r="AG685" i="1"/>
  <c r="AG684" i="1"/>
  <c r="AG683" i="1"/>
  <c r="AG682" i="1"/>
  <c r="AG681" i="1"/>
  <c r="AG680" i="1"/>
  <c r="AG679" i="1"/>
  <c r="AG678" i="1"/>
  <c r="AG677" i="1"/>
  <c r="AG676" i="1"/>
  <c r="AG675" i="1"/>
  <c r="AG674" i="1"/>
  <c r="AG673" i="1"/>
  <c r="AG672" i="1"/>
  <c r="AG671" i="1"/>
  <c r="AG670" i="1"/>
  <c r="AG669" i="1"/>
  <c r="AG668" i="1"/>
  <c r="AG667" i="1"/>
  <c r="AG666" i="1"/>
  <c r="AG665" i="1"/>
  <c r="AG664" i="1"/>
  <c r="AG663" i="1"/>
  <c r="AG662" i="1"/>
  <c r="AG661" i="1"/>
  <c r="AG660" i="1"/>
  <c r="AG659" i="1"/>
  <c r="AG658" i="1"/>
  <c r="AG657" i="1"/>
  <c r="AG656" i="1"/>
  <c r="AG655" i="1"/>
  <c r="AG654" i="1"/>
  <c r="AG653" i="1"/>
  <c r="AG652" i="1"/>
  <c r="AG651" i="1"/>
  <c r="AG650" i="1"/>
  <c r="AG649" i="1"/>
  <c r="AG648" i="1"/>
  <c r="AG647" i="1"/>
  <c r="AG646" i="1"/>
  <c r="AG645" i="1"/>
  <c r="AG644" i="1"/>
  <c r="AG643" i="1"/>
  <c r="AG642" i="1"/>
  <c r="AG641" i="1"/>
  <c r="AG640" i="1"/>
  <c r="AG639" i="1"/>
  <c r="AG638" i="1"/>
  <c r="AG637" i="1"/>
  <c r="AG636" i="1"/>
  <c r="AG635" i="1"/>
  <c r="AG634" i="1"/>
  <c r="AG633" i="1"/>
  <c r="AG632" i="1"/>
  <c r="AG631" i="1"/>
  <c r="AG630" i="1"/>
  <c r="AG629" i="1"/>
  <c r="AG628" i="1"/>
  <c r="AG627" i="1"/>
  <c r="AG626" i="1"/>
  <c r="AG625" i="1"/>
  <c r="AG624" i="1"/>
  <c r="AG623" i="1"/>
  <c r="AG622" i="1"/>
  <c r="AG621" i="1"/>
  <c r="AG620" i="1"/>
  <c r="AG619" i="1"/>
  <c r="AG618" i="1"/>
  <c r="AG617" i="1"/>
  <c r="AG616" i="1"/>
  <c r="AG615" i="1"/>
  <c r="AG614" i="1"/>
  <c r="AG613" i="1"/>
  <c r="AG612" i="1"/>
  <c r="AG611" i="1"/>
  <c r="AG610" i="1"/>
  <c r="AG609" i="1"/>
  <c r="AG608" i="1"/>
  <c r="AG607" i="1"/>
  <c r="AG606" i="1"/>
  <c r="AG605" i="1"/>
  <c r="AG604" i="1"/>
  <c r="AG603" i="1"/>
  <c r="AG602" i="1"/>
  <c r="AG601" i="1"/>
  <c r="AG600" i="1"/>
  <c r="AG599" i="1"/>
  <c r="AG598" i="1"/>
  <c r="AG597" i="1"/>
  <c r="AG596" i="1"/>
  <c r="AG595" i="1"/>
  <c r="AG594" i="1"/>
  <c r="AG593" i="1"/>
  <c r="AG592" i="1"/>
  <c r="AG591" i="1"/>
  <c r="AG590" i="1"/>
  <c r="AG589" i="1"/>
  <c r="AG588" i="1"/>
  <c r="AG587" i="1"/>
  <c r="AG586" i="1"/>
  <c r="AG585" i="1"/>
  <c r="AG584" i="1"/>
  <c r="AG583" i="1"/>
  <c r="AG582" i="1"/>
  <c r="AG581" i="1"/>
  <c r="AG580" i="1"/>
  <c r="AG579" i="1"/>
  <c r="AG578" i="1"/>
  <c r="AG577" i="1"/>
  <c r="AG576" i="1"/>
  <c r="AG575" i="1"/>
  <c r="AG574" i="1"/>
  <c r="AG573" i="1"/>
  <c r="AG572" i="1"/>
  <c r="AG571" i="1"/>
  <c r="AG570" i="1"/>
  <c r="AG569" i="1"/>
  <c r="AG568" i="1"/>
  <c r="AG567" i="1"/>
  <c r="AG566" i="1"/>
  <c r="AG565" i="1"/>
  <c r="AG564" i="1"/>
  <c r="AG563" i="1"/>
  <c r="AG562" i="1"/>
  <c r="AG561" i="1"/>
  <c r="AG560" i="1"/>
  <c r="AG559" i="1"/>
  <c r="AG558" i="1"/>
  <c r="AG557" i="1"/>
  <c r="AG556" i="1"/>
  <c r="AG555" i="1"/>
  <c r="AG554" i="1"/>
  <c r="AG553" i="1"/>
  <c r="AG552" i="1"/>
  <c r="AG551" i="1"/>
  <c r="AG550" i="1"/>
  <c r="AG549" i="1"/>
  <c r="AG548" i="1"/>
  <c r="AG547" i="1"/>
  <c r="AG546" i="1"/>
  <c r="AG545" i="1"/>
  <c r="AG544" i="1"/>
  <c r="AG543" i="1"/>
  <c r="AG542" i="1"/>
  <c r="AG541" i="1"/>
  <c r="AG540" i="1"/>
  <c r="AG539" i="1"/>
  <c r="AG538" i="1"/>
  <c r="AG537" i="1"/>
  <c r="AG536" i="1"/>
  <c r="AG535" i="1"/>
  <c r="AG534" i="1"/>
  <c r="AG533" i="1"/>
  <c r="AG532" i="1"/>
  <c r="AG531" i="1"/>
  <c r="AG530" i="1"/>
  <c r="AG529" i="1"/>
  <c r="AG528" i="1"/>
  <c r="AG527" i="1"/>
  <c r="AG526" i="1"/>
  <c r="AG525" i="1"/>
  <c r="AG524" i="1"/>
  <c r="AG523" i="1"/>
  <c r="AG522" i="1"/>
  <c r="AG521" i="1"/>
  <c r="AG520" i="1"/>
  <c r="AG519" i="1"/>
  <c r="AG518" i="1"/>
  <c r="AG517" i="1"/>
  <c r="AG516" i="1"/>
  <c r="AG515" i="1"/>
  <c r="AG514" i="1"/>
  <c r="AG513" i="1"/>
  <c r="AG512" i="1"/>
  <c r="AG511" i="1"/>
  <c r="AG510" i="1"/>
  <c r="AG509" i="1"/>
  <c r="AG508" i="1"/>
  <c r="AG507" i="1"/>
  <c r="AG506" i="1"/>
  <c r="AG505" i="1"/>
  <c r="AG504" i="1"/>
  <c r="AG503" i="1"/>
  <c r="AG502" i="1"/>
  <c r="AG501" i="1"/>
  <c r="AG500" i="1"/>
  <c r="AG499" i="1"/>
  <c r="AG498" i="1"/>
  <c r="AG497" i="1"/>
  <c r="AG496" i="1"/>
  <c r="AG495" i="1"/>
  <c r="AG494" i="1"/>
  <c r="AG493" i="1"/>
  <c r="AG492" i="1"/>
  <c r="AG491" i="1"/>
  <c r="AG490" i="1"/>
  <c r="AG489" i="1"/>
  <c r="AG488" i="1"/>
  <c r="AG487" i="1"/>
  <c r="AG486" i="1"/>
  <c r="AG485" i="1"/>
  <c r="AG484" i="1"/>
  <c r="AG483" i="1"/>
  <c r="AG482" i="1"/>
  <c r="AG481" i="1"/>
  <c r="AG480" i="1"/>
  <c r="AG479" i="1"/>
  <c r="AG478" i="1"/>
  <c r="AG477" i="1"/>
  <c r="AG476" i="1"/>
  <c r="AG475" i="1"/>
  <c r="AG474" i="1"/>
  <c r="AG473" i="1"/>
  <c r="AG472" i="1"/>
  <c r="AG471" i="1"/>
  <c r="AG470" i="1"/>
  <c r="AG469" i="1"/>
  <c r="AG468" i="1"/>
  <c r="AG467" i="1"/>
  <c r="AG466" i="1"/>
  <c r="AG465" i="1"/>
  <c r="AG464" i="1"/>
  <c r="AG463" i="1"/>
  <c r="AG462" i="1"/>
  <c r="AG461" i="1"/>
  <c r="AG460" i="1"/>
  <c r="AG459" i="1"/>
  <c r="AG458" i="1"/>
  <c r="AG457" i="1"/>
  <c r="AG456" i="1"/>
  <c r="AG455" i="1"/>
  <c r="AG454" i="1"/>
  <c r="AG453" i="1"/>
  <c r="AG452" i="1"/>
  <c r="AG451" i="1"/>
  <c r="AG450" i="1"/>
  <c r="AG449" i="1"/>
  <c r="AG448" i="1"/>
  <c r="AG447" i="1"/>
  <c r="AG446" i="1"/>
  <c r="AG445" i="1"/>
  <c r="AG444" i="1"/>
  <c r="AG443" i="1"/>
  <c r="AG442" i="1"/>
  <c r="AG441" i="1"/>
  <c r="AG440" i="1"/>
  <c r="AG439" i="1"/>
  <c r="AG438" i="1"/>
  <c r="AG437" i="1"/>
  <c r="AG436" i="1"/>
  <c r="AG435" i="1"/>
  <c r="AG434" i="1"/>
  <c r="AG433" i="1"/>
  <c r="AG432" i="1"/>
  <c r="AG431" i="1"/>
  <c r="AG430" i="1"/>
  <c r="AG429" i="1"/>
  <c r="AG428" i="1"/>
  <c r="AG427" i="1"/>
  <c r="AG426" i="1"/>
  <c r="AG425" i="1"/>
  <c r="AG424" i="1"/>
  <c r="AG423" i="1"/>
  <c r="AG422" i="1"/>
  <c r="AG421" i="1"/>
  <c r="AG420" i="1"/>
  <c r="AG419" i="1"/>
  <c r="AG418" i="1"/>
  <c r="AG417" i="1"/>
  <c r="AG416" i="1"/>
  <c r="AG415" i="1"/>
  <c r="AG414" i="1"/>
  <c r="AG413" i="1"/>
  <c r="AG412" i="1"/>
  <c r="AG411" i="1"/>
  <c r="AG410" i="1"/>
  <c r="AG409" i="1"/>
  <c r="AG408" i="1"/>
  <c r="AG407" i="1"/>
  <c r="AG406" i="1"/>
  <c r="AG405" i="1"/>
  <c r="AG404" i="1"/>
  <c r="AG403" i="1"/>
  <c r="AG402" i="1"/>
  <c r="AG401" i="1"/>
  <c r="AG400" i="1"/>
  <c r="AG399" i="1"/>
  <c r="AG398" i="1"/>
  <c r="AG397" i="1"/>
  <c r="AG396" i="1"/>
  <c r="AG395" i="1"/>
  <c r="AG394" i="1"/>
  <c r="AG393" i="1"/>
  <c r="AG392" i="1"/>
  <c r="AG391" i="1"/>
  <c r="AG390" i="1"/>
  <c r="AG389" i="1"/>
  <c r="AG388" i="1"/>
  <c r="AG387" i="1"/>
  <c r="AG386" i="1"/>
  <c r="AG385" i="1"/>
  <c r="AG384" i="1"/>
  <c r="AG383" i="1"/>
  <c r="AG382" i="1"/>
  <c r="AG381" i="1"/>
  <c r="AG380" i="1"/>
  <c r="AG379" i="1"/>
  <c r="AG378" i="1"/>
  <c r="AG377" i="1"/>
  <c r="AG376" i="1"/>
  <c r="AG375" i="1"/>
  <c r="AG374" i="1"/>
  <c r="AG373" i="1"/>
  <c r="AG372" i="1"/>
  <c r="AG371" i="1"/>
  <c r="AG370" i="1"/>
  <c r="AG369" i="1"/>
  <c r="AG368" i="1"/>
  <c r="AG367" i="1"/>
  <c r="AG366" i="1"/>
  <c r="AG365" i="1"/>
  <c r="AG364" i="1"/>
  <c r="AG363" i="1"/>
  <c r="AG362" i="1"/>
  <c r="AG361" i="1"/>
  <c r="AG360" i="1"/>
  <c r="AG359" i="1"/>
  <c r="AG358" i="1"/>
  <c r="AG357" i="1"/>
  <c r="AG356" i="1"/>
  <c r="AG355" i="1"/>
  <c r="AG354" i="1"/>
  <c r="AG353" i="1"/>
  <c r="AG352" i="1"/>
  <c r="AG351" i="1"/>
  <c r="AG350" i="1"/>
  <c r="AG349" i="1"/>
  <c r="AG348" i="1"/>
  <c r="AG347" i="1"/>
  <c r="AG346" i="1"/>
  <c r="AG345" i="1"/>
  <c r="AG344" i="1"/>
  <c r="AG343" i="1"/>
  <c r="AG342" i="1"/>
  <c r="AG341" i="1"/>
  <c r="AG340" i="1"/>
  <c r="AG339" i="1"/>
  <c r="AG338" i="1"/>
  <c r="AG337" i="1"/>
  <c r="AG336" i="1"/>
  <c r="AG335" i="1"/>
  <c r="AG334" i="1"/>
  <c r="AG333" i="1"/>
  <c r="AG332" i="1"/>
  <c r="AG331" i="1"/>
  <c r="AG330" i="1"/>
  <c r="AG329" i="1"/>
  <c r="AG328" i="1"/>
  <c r="AG327" i="1"/>
  <c r="AG326" i="1"/>
  <c r="AG325" i="1"/>
  <c r="AG324" i="1"/>
  <c r="AG323" i="1"/>
  <c r="AG322" i="1"/>
  <c r="AG321" i="1"/>
  <c r="AG320" i="1"/>
  <c r="AG319" i="1"/>
  <c r="AG318" i="1"/>
  <c r="AG317" i="1"/>
  <c r="AG316" i="1"/>
  <c r="AG315" i="1"/>
  <c r="AG314" i="1"/>
  <c r="AG313" i="1"/>
  <c r="AG312" i="1"/>
  <c r="AG311" i="1"/>
  <c r="AG310" i="1"/>
  <c r="AG309" i="1"/>
  <c r="AG308" i="1"/>
  <c r="AG307" i="1"/>
  <c r="AG306" i="1"/>
  <c r="AG305" i="1"/>
  <c r="AG304" i="1"/>
  <c r="AG303" i="1"/>
  <c r="AG302" i="1"/>
  <c r="AG301" i="1"/>
  <c r="AG300" i="1"/>
  <c r="AG299" i="1"/>
  <c r="AG298" i="1"/>
  <c r="AG297" i="1"/>
  <c r="AG296" i="1"/>
  <c r="AG295" i="1"/>
  <c r="AG294" i="1"/>
  <c r="AG293" i="1"/>
  <c r="AG292" i="1"/>
  <c r="AG291" i="1"/>
  <c r="AG290" i="1"/>
  <c r="AG289" i="1"/>
  <c r="AG288" i="1"/>
  <c r="AG287" i="1"/>
  <c r="AG286" i="1"/>
  <c r="AG285" i="1"/>
  <c r="AG284" i="1"/>
  <c r="AG283" i="1"/>
  <c r="AG282" i="1"/>
  <c r="AG281" i="1"/>
  <c r="AG280" i="1"/>
  <c r="AG279" i="1"/>
  <c r="AG278" i="1"/>
  <c r="AG277" i="1"/>
  <c r="AG276" i="1"/>
  <c r="AG275" i="1"/>
  <c r="AG274" i="1"/>
  <c r="AG273" i="1"/>
  <c r="AG272" i="1"/>
  <c r="AG271" i="1"/>
  <c r="AG270" i="1"/>
  <c r="AG269" i="1"/>
  <c r="AG268" i="1"/>
  <c r="AG267" i="1"/>
  <c r="AG266" i="1"/>
  <c r="AG265" i="1"/>
  <c r="AG264" i="1"/>
  <c r="AG263" i="1"/>
  <c r="AG262" i="1"/>
  <c r="AG261" i="1"/>
  <c r="AG260" i="1"/>
  <c r="AG259" i="1"/>
  <c r="AG258" i="1"/>
  <c r="AG257" i="1"/>
  <c r="AG256" i="1"/>
  <c r="AG255" i="1"/>
  <c r="AG254" i="1"/>
  <c r="AG253" i="1"/>
  <c r="AG252" i="1"/>
  <c r="AG251" i="1"/>
  <c r="AG250" i="1"/>
  <c r="AG249" i="1"/>
  <c r="AG248" i="1"/>
  <c r="AG247" i="1"/>
  <c r="AG246" i="1"/>
  <c r="AG245" i="1"/>
  <c r="AG244" i="1"/>
  <c r="AG243" i="1"/>
  <c r="AG242" i="1"/>
  <c r="AG241" i="1"/>
  <c r="AG240" i="1"/>
  <c r="AG239" i="1"/>
  <c r="AG238" i="1"/>
  <c r="AG237" i="1"/>
  <c r="AG236" i="1"/>
  <c r="AG235" i="1"/>
  <c r="AG234" i="1"/>
  <c r="AG233" i="1"/>
  <c r="AG232" i="1"/>
  <c r="AG231" i="1"/>
  <c r="AG230" i="1"/>
  <c r="AG229" i="1"/>
  <c r="AG228" i="1"/>
  <c r="AG227" i="1"/>
  <c r="AG226" i="1"/>
  <c r="AG225" i="1"/>
  <c r="AG224" i="1"/>
  <c r="AG223" i="1"/>
  <c r="AG222" i="1"/>
  <c r="AG221" i="1"/>
  <c r="AG220" i="1"/>
  <c r="AG219" i="1"/>
  <c r="AG218" i="1"/>
  <c r="AG217" i="1"/>
  <c r="AG216" i="1"/>
  <c r="AG215" i="1"/>
  <c r="AG214" i="1"/>
  <c r="AG213" i="1"/>
  <c r="AG212" i="1"/>
  <c r="AG211" i="1"/>
  <c r="AG210" i="1"/>
  <c r="AG209" i="1"/>
  <c r="AG208" i="1"/>
  <c r="AG207" i="1"/>
  <c r="AG206" i="1"/>
  <c r="AG205" i="1"/>
  <c r="AG204" i="1"/>
  <c r="AG203" i="1"/>
  <c r="AG202" i="1"/>
  <c r="AG201" i="1"/>
  <c r="AG200" i="1"/>
  <c r="AG199" i="1"/>
  <c r="AG198" i="1"/>
  <c r="AG197" i="1"/>
  <c r="AG196" i="1"/>
  <c r="AG195" i="1"/>
  <c r="AG194" i="1"/>
  <c r="AG193" i="1"/>
  <c r="AG192" i="1"/>
  <c r="AG191" i="1"/>
  <c r="AG190" i="1"/>
  <c r="AG189" i="1"/>
  <c r="AG188" i="1"/>
  <c r="AG187" i="1"/>
  <c r="AG186" i="1"/>
  <c r="AG185" i="1"/>
  <c r="AG184" i="1"/>
  <c r="AG183" i="1"/>
  <c r="AG182" i="1"/>
  <c r="AG181" i="1"/>
  <c r="AG180" i="1"/>
  <c r="AG179" i="1"/>
  <c r="AG178" i="1"/>
  <c r="AG177" i="1"/>
  <c r="AG176" i="1"/>
  <c r="AG175" i="1"/>
  <c r="AG174" i="1"/>
  <c r="AG173" i="1"/>
  <c r="AG172" i="1"/>
  <c r="AG171" i="1"/>
  <c r="AG170" i="1"/>
  <c r="AG169" i="1"/>
  <c r="AG168" i="1"/>
  <c r="AG167" i="1"/>
  <c r="AG166" i="1"/>
  <c r="AG165" i="1"/>
  <c r="AG164" i="1"/>
  <c r="AG163" i="1"/>
  <c r="AG162" i="1"/>
  <c r="AG161" i="1"/>
  <c r="AG160" i="1"/>
  <c r="AG159" i="1"/>
  <c r="AG158" i="1"/>
  <c r="AG157" i="1"/>
  <c r="AG156" i="1"/>
  <c r="AG155" i="1"/>
  <c r="AG154" i="1"/>
  <c r="AG153" i="1"/>
  <c r="AG152" i="1"/>
  <c r="AG151" i="1"/>
  <c r="AG150" i="1"/>
  <c r="AG149" i="1"/>
  <c r="AG148" i="1"/>
  <c r="AG147" i="1"/>
  <c r="AG146" i="1"/>
  <c r="AG145" i="1"/>
  <c r="AG144" i="1"/>
  <c r="AG143" i="1"/>
  <c r="AG142" i="1"/>
  <c r="AG141" i="1"/>
  <c r="AG140" i="1"/>
  <c r="AG139" i="1"/>
  <c r="AG138" i="1"/>
  <c r="AG137" i="1"/>
  <c r="AG136" i="1"/>
  <c r="AG135" i="1"/>
  <c r="AG134" i="1"/>
  <c r="AG133" i="1"/>
  <c r="AG132" i="1"/>
  <c r="AG131" i="1"/>
  <c r="AG130" i="1"/>
  <c r="AG129" i="1"/>
  <c r="AG128" i="1"/>
  <c r="AG127" i="1"/>
  <c r="AG126" i="1"/>
  <c r="AG125" i="1"/>
  <c r="AG124" i="1"/>
  <c r="AG123" i="1"/>
  <c r="AG122" i="1"/>
  <c r="AG121" i="1"/>
  <c r="AG120" i="1"/>
  <c r="AG119" i="1"/>
  <c r="AG118" i="1"/>
  <c r="AG117" i="1"/>
  <c r="AG116" i="1"/>
  <c r="AG115" i="1"/>
  <c r="AG114" i="1"/>
  <c r="AG113" i="1"/>
  <c r="AG112" i="1"/>
  <c r="AG111" i="1"/>
  <c r="AG110" i="1"/>
  <c r="AG109" i="1"/>
  <c r="AG108" i="1"/>
  <c r="AG107" i="1"/>
  <c r="AG106" i="1"/>
  <c r="AG105" i="1"/>
  <c r="AG104" i="1"/>
  <c r="AG103" i="1"/>
  <c r="AG102" i="1"/>
  <c r="AG101" i="1"/>
  <c r="AG100" i="1"/>
  <c r="AG99" i="1"/>
  <c r="AG98" i="1"/>
  <c r="AG97" i="1"/>
  <c r="AG96" i="1"/>
  <c r="AG95" i="1"/>
  <c r="AG94" i="1"/>
  <c r="AG93" i="1"/>
  <c r="AG92" i="1"/>
  <c r="AG91" i="1"/>
  <c r="AG90" i="1"/>
  <c r="AG89" i="1"/>
  <c r="AG88" i="1"/>
  <c r="AG87" i="1"/>
  <c r="AG86" i="1"/>
  <c r="AG85" i="1"/>
  <c r="AG84" i="1"/>
  <c r="AG83" i="1"/>
  <c r="AG82" i="1"/>
  <c r="AG81" i="1"/>
  <c r="AG80" i="1"/>
  <c r="AG79" i="1"/>
  <c r="AG78" i="1"/>
  <c r="AG77" i="1"/>
  <c r="AG76" i="1"/>
  <c r="AG75" i="1"/>
  <c r="AG74" i="1"/>
  <c r="AG73" i="1"/>
  <c r="AG72" i="1"/>
  <c r="AG71" i="1"/>
  <c r="AG70" i="1"/>
  <c r="AG69" i="1"/>
  <c r="AG68" i="1"/>
  <c r="AG67" i="1"/>
  <c r="AG66" i="1"/>
  <c r="AG65" i="1"/>
  <c r="AG64" i="1"/>
  <c r="AG63" i="1"/>
  <c r="AG62" i="1"/>
  <c r="AG61" i="1"/>
  <c r="AG60" i="1"/>
  <c r="AG59" i="1"/>
  <c r="AG58" i="1"/>
  <c r="AG57" i="1"/>
  <c r="AG56" i="1"/>
  <c r="AG55" i="1"/>
  <c r="AG54" i="1"/>
  <c r="AG53" i="1"/>
  <c r="AG52" i="1"/>
  <c r="AG51" i="1"/>
  <c r="AG50" i="1"/>
  <c r="AG49" i="1"/>
  <c r="AG48" i="1"/>
  <c r="AG47" i="1"/>
  <c r="AG46" i="1"/>
  <c r="AG45" i="1"/>
  <c r="AG44" i="1"/>
  <c r="AG43" i="1"/>
  <c r="AG42" i="1"/>
  <c r="AG41" i="1"/>
  <c r="AG40" i="1"/>
  <c r="AG39" i="1"/>
  <c r="AG38" i="1"/>
  <c r="AG37" i="1"/>
  <c r="AG36" i="1"/>
  <c r="AG35" i="1"/>
  <c r="AG34" i="1"/>
  <c r="AG33" i="1"/>
  <c r="AG32" i="1"/>
  <c r="AG31" i="1"/>
  <c r="AG30" i="1"/>
  <c r="AG29" i="1"/>
  <c r="AG28" i="1"/>
  <c r="AG27" i="1"/>
  <c r="AG26" i="1"/>
  <c r="AG25" i="1"/>
  <c r="AG24" i="1"/>
  <c r="AG23" i="1"/>
  <c r="AG22" i="1"/>
  <c r="AG21" i="1"/>
  <c r="AG20" i="1"/>
  <c r="AG19" i="1"/>
  <c r="AG18" i="1"/>
  <c r="AG17" i="1"/>
  <c r="AG16" i="1"/>
  <c r="AG15" i="1"/>
  <c r="AG14" i="1"/>
  <c r="AG13" i="1"/>
  <c r="AG12" i="1"/>
  <c r="AG11" i="1"/>
  <c r="AG10" i="1"/>
  <c r="AG9" i="1"/>
  <c r="AG8" i="1"/>
  <c r="AG7" i="1"/>
  <c r="AG6" i="1"/>
  <c r="AG5" i="1"/>
  <c r="AG4" i="1"/>
  <c r="AG3" i="1"/>
  <c r="AG2" i="1"/>
</calcChain>
</file>

<file path=xl/sharedStrings.xml><?xml version="1.0" encoding="utf-8"?>
<sst xmlns="http://schemas.openxmlformats.org/spreadsheetml/2006/main" count="13593" uniqueCount="10795">
  <si>
    <t>Ticker</t>
  </si>
  <si>
    <t>Market</t>
  </si>
  <si>
    <t>Ticker_name</t>
  </si>
  <si>
    <t>Avg_Volume_30D</t>
  </si>
  <si>
    <t>Avg_Trading_Value</t>
  </si>
  <si>
    <t>PER</t>
  </si>
  <si>
    <t>PBR</t>
  </si>
  <si>
    <t>EPS</t>
  </si>
  <si>
    <t>Dividend_Yield</t>
  </si>
  <si>
    <t>Market_Cap</t>
  </si>
  <si>
    <t>Start Price</t>
  </si>
  <si>
    <t>Current Price</t>
  </si>
  <si>
    <t>Total Return (%)</t>
  </si>
  <si>
    <t>Month 1 Return (%)</t>
  </si>
  <si>
    <t>Month 2 Return (%)</t>
  </si>
  <si>
    <t>Month 3 Return (%)</t>
  </si>
  <si>
    <t>Month 4 Return (%)</t>
  </si>
  <si>
    <t>Month 5 Return (%)</t>
  </si>
  <si>
    <t>Month 6 Return (%)</t>
  </si>
  <si>
    <t>Month 1 Volatility (%)</t>
  </si>
  <si>
    <t>Month 2 Volatility (%)</t>
  </si>
  <si>
    <t>Month 3 Volatility (%)</t>
  </si>
  <si>
    <t>Month 4 Volatility (%)</t>
  </si>
  <si>
    <t>Month 5 Volatility (%)</t>
  </si>
  <si>
    <t>Month 6 Volatility (%)</t>
  </si>
  <si>
    <t>Month 1 abs SR</t>
  </si>
  <si>
    <t>Month 2 abs SR</t>
  </si>
  <si>
    <t>Month 3 abs SR</t>
  </si>
  <si>
    <t>Month 4 abs SR</t>
  </si>
  <si>
    <t>Month 5 abs SR</t>
  </si>
  <si>
    <t>Month 6 abs SR</t>
  </si>
  <si>
    <t>6M_Avg_SR</t>
  </si>
  <si>
    <t>Chart_Link</t>
  </si>
  <si>
    <t>001620</t>
  </si>
  <si>
    <t>KOSPI</t>
  </si>
  <si>
    <t>케이비아이동국실업</t>
  </si>
  <si>
    <t>₩47,686,148</t>
  </si>
  <si>
    <t>₩63,437,027,670</t>
  </si>
  <si>
    <t>003350</t>
  </si>
  <si>
    <t>한국화장품제조</t>
  </si>
  <si>
    <t>₩9,271,369,581</t>
  </si>
  <si>
    <t>₩341,712,800,000</t>
  </si>
  <si>
    <t>001790</t>
  </si>
  <si>
    <t>대한제당</t>
  </si>
  <si>
    <t>₩520,709,062</t>
  </si>
  <si>
    <t>₩259,671,599,100</t>
  </si>
  <si>
    <t>085620</t>
  </si>
  <si>
    <t>미래에셋생명</t>
  </si>
  <si>
    <t>₩133,310,447</t>
  </si>
  <si>
    <t>₩934,645,477,920</t>
  </si>
  <si>
    <t>025860</t>
  </si>
  <si>
    <t>남해화학</t>
  </si>
  <si>
    <t>₩390,439,820</t>
  </si>
  <si>
    <t>₩320,428,537,350</t>
  </si>
  <si>
    <t>032685</t>
  </si>
  <si>
    <t>KOSDAQ</t>
  </si>
  <si>
    <t>소프트센우</t>
  </si>
  <si>
    <t>₩3,081,242</t>
  </si>
  <si>
    <t>₩2,828,564,640</t>
  </si>
  <si>
    <t>023000</t>
  </si>
  <si>
    <t>삼원강재</t>
  </si>
  <si>
    <t>₩19,139,510</t>
  </si>
  <si>
    <t>₩103,400,000,000</t>
  </si>
  <si>
    <t>064240</t>
  </si>
  <si>
    <t>홈캐스트</t>
  </si>
  <si>
    <t>₩157,089,837</t>
  </si>
  <si>
    <t>₩92,149,971,560</t>
  </si>
  <si>
    <t>095660</t>
  </si>
  <si>
    <t>네오위즈</t>
  </si>
  <si>
    <t>₩1,269,107,832</t>
  </si>
  <si>
    <t>₩446,971,887,200</t>
  </si>
  <si>
    <t>005990</t>
  </si>
  <si>
    <t>매일홀딩스</t>
  </si>
  <si>
    <t>₩43,857,480</t>
  </si>
  <si>
    <t>₩113,999,106,240</t>
  </si>
  <si>
    <t>004365</t>
  </si>
  <si>
    <t>세방우</t>
  </si>
  <si>
    <t>₩15,925,458</t>
  </si>
  <si>
    <t>₩28,665,472,500</t>
  </si>
  <si>
    <t>120030</t>
  </si>
  <si>
    <t>조선선재</t>
  </si>
  <si>
    <t>₩105,234,067</t>
  </si>
  <si>
    <t>₩118,722,254,400</t>
  </si>
  <si>
    <t>073190</t>
  </si>
  <si>
    <t>듀오백</t>
  </si>
  <si>
    <t>₩66,430,892</t>
  </si>
  <si>
    <t>₩29,142,177,400</t>
  </si>
  <si>
    <t>134380</t>
  </si>
  <si>
    <t>미원화학</t>
  </si>
  <si>
    <t>₩26,892,757</t>
  </si>
  <si>
    <t>₩175,281,659,600</t>
  </si>
  <si>
    <t>005440</t>
  </si>
  <si>
    <t>현대지에프홀딩스</t>
  </si>
  <si>
    <t>₩764,254,435</t>
  </si>
  <si>
    <t>₩753,017,773,830</t>
  </si>
  <si>
    <t>005710</t>
  </si>
  <si>
    <t>대원산업</t>
  </si>
  <si>
    <t>₩255,617,798</t>
  </si>
  <si>
    <t>₩116,618,832,000</t>
  </si>
  <si>
    <t>012790</t>
  </si>
  <si>
    <t>신일제약</t>
  </si>
  <si>
    <t>₩284,118,052</t>
  </si>
  <si>
    <t>₩84,024,769,150</t>
  </si>
  <si>
    <t>058650</t>
  </si>
  <si>
    <t>세아홀딩스</t>
  </si>
  <si>
    <t>₩42,378,457</t>
  </si>
  <si>
    <t>₩406,000,000,000</t>
  </si>
  <si>
    <t>000440</t>
  </si>
  <si>
    <t>중앙에너비스</t>
  </si>
  <si>
    <t>₩3,778,829,414</t>
  </si>
  <si>
    <t>₩120,806,322,000</t>
  </si>
  <si>
    <t>079190</t>
  </si>
  <si>
    <t>케스피온</t>
  </si>
  <si>
    <t>₩64,779,494</t>
  </si>
  <si>
    <t>₩22,591,397,746</t>
  </si>
  <si>
    <t>145990</t>
  </si>
  <si>
    <t>삼양사</t>
  </si>
  <si>
    <t>₩537,812,279</t>
  </si>
  <si>
    <t>₩518,766,484,700</t>
  </si>
  <si>
    <t>043360</t>
  </si>
  <si>
    <t>디지아이</t>
  </si>
  <si>
    <t>₩53,811,777</t>
  </si>
  <si>
    <t>₩19,080,000,000</t>
  </si>
  <si>
    <t>045100</t>
  </si>
  <si>
    <t>한양이엔지</t>
  </si>
  <si>
    <t>₩363,682,158</t>
  </si>
  <si>
    <t>₩306,720,000,000</t>
  </si>
  <si>
    <t>075180</t>
  </si>
  <si>
    <t>새론오토모티브</t>
  </si>
  <si>
    <t>₩8,819,342</t>
  </si>
  <si>
    <t>₩73,344,000,000</t>
  </si>
  <si>
    <t>017940</t>
  </si>
  <si>
    <t>E1</t>
  </si>
  <si>
    <t>₩642,957,829</t>
  </si>
  <si>
    <t>₩503,524,000,000</t>
  </si>
  <si>
    <t>290270</t>
  </si>
  <si>
    <t>휴네시온</t>
  </si>
  <si>
    <t>₩510,686,734</t>
  </si>
  <si>
    <t>₩35,260,156,240</t>
  </si>
  <si>
    <t>415580</t>
  </si>
  <si>
    <t>상상인제3호스팩</t>
  </si>
  <si>
    <t>₩76,301,661</t>
  </si>
  <si>
    <t>₩11,151,000,000</t>
  </si>
  <si>
    <t>002025</t>
  </si>
  <si>
    <t>코오롱우</t>
  </si>
  <si>
    <t>₩10,644,319</t>
  </si>
  <si>
    <t>₩13,627,097,400</t>
  </si>
  <si>
    <t>468760</t>
  </si>
  <si>
    <t>유진스팩10호</t>
  </si>
  <si>
    <t>₩9,533,194</t>
  </si>
  <si>
    <t>₩9,052,400,000</t>
  </si>
  <si>
    <t>001510</t>
  </si>
  <si>
    <t>SK증권</t>
  </si>
  <si>
    <t>₩399,938,716</t>
  </si>
  <si>
    <t>₩239,603,216,697</t>
  </si>
  <si>
    <t>445360</t>
  </si>
  <si>
    <t>비엔케이제1호스팩</t>
  </si>
  <si>
    <t>₩7,059,916</t>
  </si>
  <si>
    <t>₩8,986,350,000</t>
  </si>
  <si>
    <t>071320</t>
  </si>
  <si>
    <t>지역난방공사</t>
  </si>
  <si>
    <t>₩472,394,538</t>
  </si>
  <si>
    <t>₩562,726,958,400</t>
  </si>
  <si>
    <t>005305</t>
  </si>
  <si>
    <t>롯데칠성우</t>
  </si>
  <si>
    <t>₩77,418,714</t>
  </si>
  <si>
    <t>₩50,782,805,000</t>
  </si>
  <si>
    <t>122900</t>
  </si>
  <si>
    <t>아이마켓코리아</t>
  </si>
  <si>
    <t>₩222,239,704</t>
  </si>
  <si>
    <t>₩278,127,948,800</t>
  </si>
  <si>
    <t>004830</t>
  </si>
  <si>
    <t>덕성</t>
  </si>
  <si>
    <t>₩4,710,465,593</t>
  </si>
  <si>
    <t>₩103,017,600,000</t>
  </si>
  <si>
    <t>338840</t>
  </si>
  <si>
    <t>와이바이오로직스</t>
  </si>
  <si>
    <t>₩4,378,533,612</t>
  </si>
  <si>
    <t>₩154,489,137,360</t>
  </si>
  <si>
    <t>096870</t>
  </si>
  <si>
    <t>엘디티</t>
  </si>
  <si>
    <t>₩27,500,957</t>
  </si>
  <si>
    <t>₩15,360,320,000</t>
  </si>
  <si>
    <t>469480</t>
  </si>
  <si>
    <t>IBKS제24호스팩</t>
  </si>
  <si>
    <t>₩14,667,086</t>
  </si>
  <si>
    <t>₩9,200,250,000</t>
  </si>
  <si>
    <t>002030</t>
  </si>
  <si>
    <t>아세아</t>
  </si>
  <si>
    <t>₩559,313,714</t>
  </si>
  <si>
    <t>₩536,316,768,000</t>
  </si>
  <si>
    <t>000075</t>
  </si>
  <si>
    <t>삼양홀딩스우</t>
  </si>
  <si>
    <t>₩11,795,871</t>
  </si>
  <si>
    <t>₩17,088,059,600</t>
  </si>
  <si>
    <t>049430</t>
  </si>
  <si>
    <t>코메론</t>
  </si>
  <si>
    <t>₩368,580,790</t>
  </si>
  <si>
    <t>₩96,180,240,000</t>
  </si>
  <si>
    <t>000145</t>
  </si>
  <si>
    <t>하이트진로홀딩스우</t>
  </si>
  <si>
    <t>₩4,660,664</t>
  </si>
  <si>
    <t>₩5,282,488,200</t>
  </si>
  <si>
    <t>049960</t>
  </si>
  <si>
    <t>쎌바이오텍</t>
  </si>
  <si>
    <t>₩256,433,098</t>
  </si>
  <si>
    <t>₩129,344,000,000</t>
  </si>
  <si>
    <t>025000</t>
  </si>
  <si>
    <t>KPX케미칼</t>
  </si>
  <si>
    <t>₩175,111,695</t>
  </si>
  <si>
    <t>₩223,124,000,000</t>
  </si>
  <si>
    <t>004255</t>
  </si>
  <si>
    <t>NPC우</t>
  </si>
  <si>
    <t>₩23,410,239</t>
  </si>
  <si>
    <t>₩13,728,000,000</t>
  </si>
  <si>
    <t>010770</t>
  </si>
  <si>
    <t>평화홀딩스</t>
  </si>
  <si>
    <t>₩14,206,901</t>
  </si>
  <si>
    <t>₩38,684,357,570</t>
  </si>
  <si>
    <t>432470</t>
  </si>
  <si>
    <t>케이엔에스</t>
  </si>
  <si>
    <t>₩2,012,183,220</t>
  </si>
  <si>
    <t>₩128,470,174,360</t>
  </si>
  <si>
    <t>086060</t>
  </si>
  <si>
    <t>진바이오텍</t>
  </si>
  <si>
    <t>₩3,511,869,812</t>
  </si>
  <si>
    <t>₩29,921,789,825</t>
  </si>
  <si>
    <t>339950</t>
  </si>
  <si>
    <t>아이비김영</t>
  </si>
  <si>
    <t>₩86,478,421</t>
  </si>
  <si>
    <t>₩80,139,885,865</t>
  </si>
  <si>
    <t>000240</t>
  </si>
  <si>
    <t>한국앤컴퍼니</t>
  </si>
  <si>
    <t>₩1,103,632,495</t>
  </si>
  <si>
    <t>₩1,642,379,652,000</t>
  </si>
  <si>
    <t>131290</t>
  </si>
  <si>
    <t>티에스이</t>
  </si>
  <si>
    <t>₩3,584,158,598</t>
  </si>
  <si>
    <t>₩478,406,804,250</t>
  </si>
  <si>
    <t>302440</t>
  </si>
  <si>
    <t>SK바이오사이언스</t>
  </si>
  <si>
    <t>₩4,755,405,436</t>
  </si>
  <si>
    <t>₩3,866,438,909,550</t>
  </si>
  <si>
    <t>025770</t>
  </si>
  <si>
    <t>한국정보통신</t>
  </si>
  <si>
    <t>₩72,780,883</t>
  </si>
  <si>
    <t>₩299,928,610,710</t>
  </si>
  <si>
    <t>072870</t>
  </si>
  <si>
    <t>메가스터디</t>
  </si>
  <si>
    <t>₩125,919,516</t>
  </si>
  <si>
    <t>₩133,276,321,620</t>
  </si>
  <si>
    <t>096530</t>
  </si>
  <si>
    <t>씨젠</t>
  </si>
  <si>
    <t>₩6,238,118,210</t>
  </si>
  <si>
    <t>₩1,206,420,461,400</t>
  </si>
  <si>
    <t>372320</t>
  </si>
  <si>
    <t>큐로셀</t>
  </si>
  <si>
    <t>₩3,953,385,100</t>
  </si>
  <si>
    <t>₩405,752,315,000</t>
  </si>
  <si>
    <t>034590</t>
  </si>
  <si>
    <t>인천도시가스</t>
  </si>
  <si>
    <t>₩39,409,788</t>
  </si>
  <si>
    <t>₩111,774,964,700</t>
  </si>
  <si>
    <t>475240</t>
  </si>
  <si>
    <t>하나32호스팩</t>
  </si>
  <si>
    <t>₩8,065,023</t>
  </si>
  <si>
    <t>₩6,960,000,000</t>
  </si>
  <si>
    <t>001560</t>
  </si>
  <si>
    <t>제일연마</t>
  </si>
  <si>
    <t>₩68,284,991</t>
  </si>
  <si>
    <t>₩89,298,000,000</t>
  </si>
  <si>
    <t>442310</t>
  </si>
  <si>
    <t>대신밸런스제14호스팩</t>
  </si>
  <si>
    <t>₩18,115,092</t>
  </si>
  <si>
    <t>₩14,661,350,000</t>
  </si>
  <si>
    <t>001685</t>
  </si>
  <si>
    <t>대상우</t>
  </si>
  <si>
    <t>₩111,645,099</t>
  </si>
  <si>
    <t>₩22,540,168,350</t>
  </si>
  <si>
    <t>092230</t>
  </si>
  <si>
    <t>KPX홀딩스</t>
  </si>
  <si>
    <t>₩97,610,462</t>
  </si>
  <si>
    <t>₩234,890,317,600</t>
  </si>
  <si>
    <t>001500</t>
  </si>
  <si>
    <t>현대차증권</t>
  </si>
  <si>
    <t>₩205,288,386</t>
  </si>
  <si>
    <t>₩277,167,791,880</t>
  </si>
  <si>
    <t>104200</t>
  </si>
  <si>
    <t>NHN벅스</t>
  </si>
  <si>
    <t>₩445,894,590</t>
  </si>
  <si>
    <t>₩48,337,813,000</t>
  </si>
  <si>
    <t>082920</t>
  </si>
  <si>
    <t>비츠로셀</t>
  </si>
  <si>
    <t>₩844,116,656</t>
  </si>
  <si>
    <t>₩430,455,048,660</t>
  </si>
  <si>
    <t>178320</t>
  </si>
  <si>
    <t>서진시스템</t>
  </si>
  <si>
    <t>₩15,014,066,740</t>
  </si>
  <si>
    <t>₩1,676,189,029,200</t>
  </si>
  <si>
    <t>027970</t>
  </si>
  <si>
    <t>한국제지</t>
  </si>
  <si>
    <t>₩3,333,007,881</t>
  </si>
  <si>
    <t>₩177,626,473,358</t>
  </si>
  <si>
    <t>025870</t>
  </si>
  <si>
    <t>신라에스지</t>
  </si>
  <si>
    <t>₩28,580,968</t>
  </si>
  <si>
    <t>₩24,880,000,000</t>
  </si>
  <si>
    <t>019440</t>
  </si>
  <si>
    <t>세아특수강</t>
  </si>
  <si>
    <t>₩81,633,303</t>
  </si>
  <si>
    <t>₩118,094,600,000</t>
  </si>
  <si>
    <t>014440</t>
  </si>
  <si>
    <t>영보화학</t>
  </si>
  <si>
    <t>₩45,470,227</t>
  </si>
  <si>
    <t>₩68,000,000,000</t>
  </si>
  <si>
    <t>344860</t>
  </si>
  <si>
    <t>이노진</t>
  </si>
  <si>
    <t>₩27,692,484</t>
  </si>
  <si>
    <t>₩21,834,450,000</t>
  </si>
  <si>
    <t>456490</t>
  </si>
  <si>
    <t>교보14호스팩</t>
  </si>
  <si>
    <t>₩11,484,959</t>
  </si>
  <si>
    <t>₩9,051,000,000</t>
  </si>
  <si>
    <t>019175</t>
  </si>
  <si>
    <t>신풍제약우</t>
  </si>
  <si>
    <t>₩41,839,733</t>
  </si>
  <si>
    <t>₩41,558,000,000</t>
  </si>
  <si>
    <t>049080</t>
  </si>
  <si>
    <t>기가레인</t>
  </si>
  <si>
    <t>₩289,317,033</t>
  </si>
  <si>
    <t>₩58,314,859,389</t>
  </si>
  <si>
    <t>078020</t>
  </si>
  <si>
    <t>LS증권</t>
  </si>
  <si>
    <t>₩100,206,370</t>
  </si>
  <si>
    <t>₩242,452,800,300</t>
  </si>
  <si>
    <t>900070</t>
  </si>
  <si>
    <t>글로벌에스엠</t>
  </si>
  <si>
    <t>₩20,894,476</t>
  </si>
  <si>
    <t>₩23,271,138,144</t>
  </si>
  <si>
    <t>024110</t>
  </si>
  <si>
    <t>기업은행</t>
  </si>
  <si>
    <t>₩13,319,353,734</t>
  </si>
  <si>
    <t>₩11,642,417,687,400</t>
  </si>
  <si>
    <t>196300</t>
  </si>
  <si>
    <t>애니젠</t>
  </si>
  <si>
    <t>₩2,030,382,829</t>
  </si>
  <si>
    <t>₩86,508,806,670</t>
  </si>
  <si>
    <t>115450</t>
  </si>
  <si>
    <t>HLB테라퓨틱스</t>
  </si>
  <si>
    <t>₩6,978,702,813</t>
  </si>
  <si>
    <t>₩747,705,574,890</t>
  </si>
  <si>
    <t>38380K</t>
  </si>
  <si>
    <t>LX홀딩스1우</t>
  </si>
  <si>
    <t>₩4,929,633</t>
  </si>
  <si>
    <t>₩12,440,269,650</t>
  </si>
  <si>
    <t>019170</t>
  </si>
  <si>
    <t>신풍제약</t>
  </si>
  <si>
    <t>₩2,053,770,647</t>
  </si>
  <si>
    <t>₩610,387,084,800</t>
  </si>
  <si>
    <t>048530</t>
  </si>
  <si>
    <t>인트론바이오</t>
  </si>
  <si>
    <t>₩681,556,664</t>
  </si>
  <si>
    <t>₩203,880,049,140</t>
  </si>
  <si>
    <t>442130</t>
  </si>
  <si>
    <t>유진스팩9호</t>
  </si>
  <si>
    <t>₩6,439,400</t>
  </si>
  <si>
    <t>₩7,542,800,000</t>
  </si>
  <si>
    <t>182360</t>
  </si>
  <si>
    <t>큐브엔터</t>
  </si>
  <si>
    <t>₩959,358,002</t>
  </si>
  <si>
    <t>₩218,573,355,000</t>
  </si>
  <si>
    <t>002020</t>
  </si>
  <si>
    <t>코오롱</t>
  </si>
  <si>
    <t>₩218,780,830</t>
  </si>
  <si>
    <t>₩178,158,870,860</t>
  </si>
  <si>
    <t>023410</t>
  </si>
  <si>
    <t>유진기업</t>
  </si>
  <si>
    <t>₩309,511,742</t>
  </si>
  <si>
    <t>₩261,310,716,940</t>
  </si>
  <si>
    <t>003010</t>
  </si>
  <si>
    <t>혜인</t>
  </si>
  <si>
    <t>₩692,726,230</t>
  </si>
  <si>
    <t>₩66,106,284,400</t>
  </si>
  <si>
    <t>014530</t>
  </si>
  <si>
    <t>극동유화</t>
  </si>
  <si>
    <t>₩548,814,295</t>
  </si>
  <si>
    <t>₩129,888,589,500</t>
  </si>
  <si>
    <t>454640</t>
  </si>
  <si>
    <t>하나29호스팩</t>
  </si>
  <si>
    <t>₩7,898,599</t>
  </si>
  <si>
    <t>₩11,504,130,000</t>
  </si>
  <si>
    <t>127980</t>
  </si>
  <si>
    <t>화인써키트</t>
  </si>
  <si>
    <t>₩39,472,417</t>
  </si>
  <si>
    <t>₩80,161,430,680</t>
  </si>
  <si>
    <t>448830</t>
  </si>
  <si>
    <t>미래에셋비전스팩3호</t>
  </si>
  <si>
    <t>₩9,386,373</t>
  </si>
  <si>
    <t>₩10,578,000,000</t>
  </si>
  <si>
    <t>003800</t>
  </si>
  <si>
    <t>에이스침대</t>
  </si>
  <si>
    <t>₩84,783,669</t>
  </si>
  <si>
    <t>₩302,757,000,000</t>
  </si>
  <si>
    <t>002785</t>
  </si>
  <si>
    <t>진흥기업우B</t>
  </si>
  <si>
    <t>₩2,096,725</t>
  </si>
  <si>
    <t>₩3,287,431,030</t>
  </si>
  <si>
    <t>003460</t>
  </si>
  <si>
    <t>유화증권</t>
  </si>
  <si>
    <t>₩28,819,497</t>
  </si>
  <si>
    <t>₩126,446,385,450</t>
  </si>
  <si>
    <t>000815</t>
  </si>
  <si>
    <t>삼성화재우</t>
  </si>
  <si>
    <t>₩2,244,496,524</t>
  </si>
  <si>
    <t>₩853,860,000,000</t>
  </si>
  <si>
    <t>104040</t>
  </si>
  <si>
    <t>대성파인텍</t>
  </si>
  <si>
    <t>₩810,775,867</t>
  </si>
  <si>
    <t>₩44,485,937,754</t>
  </si>
  <si>
    <t>014970</t>
  </si>
  <si>
    <t>삼륭물산</t>
  </si>
  <si>
    <t>₩26,247,956</t>
  </si>
  <si>
    <t>₩58,155,625,000</t>
  </si>
  <si>
    <t>100700</t>
  </si>
  <si>
    <t>세운메디칼</t>
  </si>
  <si>
    <t>₩139,845,031</t>
  </si>
  <si>
    <t>₩114,756,000,000</t>
  </si>
  <si>
    <t>084695</t>
  </si>
  <si>
    <t>대상홀딩스우</t>
  </si>
  <si>
    <t>₩141,342,141</t>
  </si>
  <si>
    <t>₩18,909,077,400</t>
  </si>
  <si>
    <t>081150</t>
  </si>
  <si>
    <t>티플랙스</t>
  </si>
  <si>
    <t>₩3,278,614,718</t>
  </si>
  <si>
    <t>₩73,047,890,020</t>
  </si>
  <si>
    <t>457630</t>
  </si>
  <si>
    <t>대신밸런스제16호스팩</t>
  </si>
  <si>
    <t>₩29,388,980</t>
  </si>
  <si>
    <t>₩15,716,500,000</t>
  </si>
  <si>
    <t>004060</t>
  </si>
  <si>
    <t>SG세계물산</t>
  </si>
  <si>
    <t>₩340,154,357</t>
  </si>
  <si>
    <t>₩69,229,336,320</t>
  </si>
  <si>
    <t>051490</t>
  </si>
  <si>
    <t>나라엠앤디</t>
  </si>
  <si>
    <t>₩5,796,202,858</t>
  </si>
  <si>
    <t>₩72,278,000,000</t>
  </si>
  <si>
    <t>100250</t>
  </si>
  <si>
    <t>진양홀딩스</t>
  </si>
  <si>
    <t>₩76,518,062</t>
  </si>
  <si>
    <t>₩178,026,505,020</t>
  </si>
  <si>
    <t>190510</t>
  </si>
  <si>
    <t>나무가</t>
  </si>
  <si>
    <t>₩414,168,489</t>
  </si>
  <si>
    <t>₩193,383,525,760</t>
  </si>
  <si>
    <t>451700</t>
  </si>
  <si>
    <t>엔에이치스팩29호</t>
  </si>
  <si>
    <t>₩34,280,678</t>
  </si>
  <si>
    <t>₩28,771,750,000</t>
  </si>
  <si>
    <t>000810</t>
  </si>
  <si>
    <t>삼성화재</t>
  </si>
  <si>
    <t>₩36,796,301,214</t>
  </si>
  <si>
    <t>₩16,510,130,694,500</t>
  </si>
  <si>
    <t>307180</t>
  </si>
  <si>
    <t>아이엘사이언스</t>
  </si>
  <si>
    <t>₩433,714,909</t>
  </si>
  <si>
    <t>₩85,996,193,040</t>
  </si>
  <si>
    <t>095190</t>
  </si>
  <si>
    <t>이엠코리아</t>
  </si>
  <si>
    <t>₩350,305,475</t>
  </si>
  <si>
    <t>₩94,265,125,760</t>
  </si>
  <si>
    <t>037460</t>
  </si>
  <si>
    <t>삼지전자</t>
  </si>
  <si>
    <t>₩162,073,740</t>
  </si>
  <si>
    <t>₩142,623,882,280</t>
  </si>
  <si>
    <t>347850</t>
  </si>
  <si>
    <t>디앤디파마텍</t>
  </si>
  <si>
    <t>₩15,700,793,236</t>
  </si>
  <si>
    <t>₩464,934,348,900</t>
  </si>
  <si>
    <t>069640</t>
  </si>
  <si>
    <t>한세엠케이</t>
  </si>
  <si>
    <t>₩452,763,645</t>
  </si>
  <si>
    <t>₩45,159,753,000</t>
  </si>
  <si>
    <t>048470</t>
  </si>
  <si>
    <t>대동스틸</t>
  </si>
  <si>
    <t>₩128,612,709</t>
  </si>
  <si>
    <t>₩36,650,000,000</t>
  </si>
  <si>
    <t>189300</t>
  </si>
  <si>
    <t>인텔리안테크</t>
  </si>
  <si>
    <t>₩5,053,012,576</t>
  </si>
  <si>
    <t>₩574,233,369,000</t>
  </si>
  <si>
    <t>000225</t>
  </si>
  <si>
    <t>유유제약1우</t>
  </si>
  <si>
    <t>₩9,306,390</t>
  </si>
  <si>
    <t>₩11,323,315,350</t>
  </si>
  <si>
    <t>192650</t>
  </si>
  <si>
    <t>드림텍</t>
  </si>
  <si>
    <t>₩1,214,919,898</t>
  </si>
  <si>
    <t>₩569,720,639,070</t>
  </si>
  <si>
    <t>014190</t>
  </si>
  <si>
    <t>원익큐브</t>
  </si>
  <si>
    <t>₩330,915,754</t>
  </si>
  <si>
    <t>₩56,993,848,660</t>
  </si>
  <si>
    <t>004835</t>
  </si>
  <si>
    <t>덕성우</t>
  </si>
  <si>
    <t>₩149,115,404</t>
  </si>
  <si>
    <t>₩13,321,440,000</t>
  </si>
  <si>
    <t>440820</t>
  </si>
  <si>
    <t>엔에이치스팩27호</t>
  </si>
  <si>
    <t>₩19,534,917</t>
  </si>
  <si>
    <t>₩16,302,000,000</t>
  </si>
  <si>
    <t>267270</t>
  </si>
  <si>
    <t>HD현대건설기계</t>
  </si>
  <si>
    <t>₩11,868,833,429</t>
  </si>
  <si>
    <t>₩1,109,318,511,600</t>
  </si>
  <si>
    <t>005010</t>
  </si>
  <si>
    <t>휴스틸</t>
  </si>
  <si>
    <t>₩1,345,346,376</t>
  </si>
  <si>
    <t>₩238,237,438,000</t>
  </si>
  <si>
    <t>335890</t>
  </si>
  <si>
    <t>비올</t>
  </si>
  <si>
    <t>₩11,032,402,069</t>
  </si>
  <si>
    <t>₩496,562,562,500</t>
  </si>
  <si>
    <t>002720</t>
  </si>
  <si>
    <t>국제약품</t>
  </si>
  <si>
    <t>₩2,373,647,690</t>
  </si>
  <si>
    <t>₩116,379,076,000</t>
  </si>
  <si>
    <t>373220</t>
  </si>
  <si>
    <t>LG에너지솔루션</t>
  </si>
  <si>
    <t>₩146,798,269,810</t>
  </si>
  <si>
    <t>₩97,344,000,000,000</t>
  </si>
  <si>
    <t>084370</t>
  </si>
  <si>
    <t>유진테크</t>
  </si>
  <si>
    <t>₩6,363,034,264</t>
  </si>
  <si>
    <t>₩823,831,709,900</t>
  </si>
  <si>
    <t>006570</t>
  </si>
  <si>
    <t>대림통상</t>
  </si>
  <si>
    <t>₩62,569,100</t>
  </si>
  <si>
    <t>₩44,000,250,000</t>
  </si>
  <si>
    <t>260970</t>
  </si>
  <si>
    <t>에스앤디</t>
  </si>
  <si>
    <t>₩1,041,818,857</t>
  </si>
  <si>
    <t>₩91,121,751,000</t>
  </si>
  <si>
    <t>137950</t>
  </si>
  <si>
    <t>제이씨케미칼</t>
  </si>
  <si>
    <t>₩746,752,860</t>
  </si>
  <si>
    <t>₩112,007,104,420</t>
  </si>
  <si>
    <t>101330</t>
  </si>
  <si>
    <t>모베이스</t>
  </si>
  <si>
    <t>₩206,577,237</t>
  </si>
  <si>
    <t>₩72,797,406,205</t>
  </si>
  <si>
    <t>005257</t>
  </si>
  <si>
    <t>녹십자홀딩스2우</t>
  </si>
  <si>
    <t>₩16,745,264</t>
  </si>
  <si>
    <t>₩20,303,760,000</t>
  </si>
  <si>
    <t>322310</t>
  </si>
  <si>
    <t>오로스테크놀로지</t>
  </si>
  <si>
    <t>₩575,778,779</t>
  </si>
  <si>
    <t>₩145,181,401,000</t>
  </si>
  <si>
    <t>464680</t>
  </si>
  <si>
    <t>KB제27호스팩</t>
  </si>
  <si>
    <t>₩30,276,911</t>
  </si>
  <si>
    <t>₩25,655,140,000</t>
  </si>
  <si>
    <t>900340</t>
  </si>
  <si>
    <t>윙입푸드</t>
  </si>
  <si>
    <t>₩3,506,914,559</t>
  </si>
  <si>
    <t>₩101,703,667,360</t>
  </si>
  <si>
    <t>352700</t>
  </si>
  <si>
    <t>씨앤투스</t>
  </si>
  <si>
    <t>₩77,631,312</t>
  </si>
  <si>
    <t>₩80,603,236,545</t>
  </si>
  <si>
    <t>005830</t>
  </si>
  <si>
    <t>DB손해보험</t>
  </si>
  <si>
    <t>₩12,153,039,319</t>
  </si>
  <si>
    <t>₩7,695,960,000,000</t>
  </si>
  <si>
    <t>091700</t>
  </si>
  <si>
    <t>파트론</t>
  </si>
  <si>
    <t>₩964,397,171</t>
  </si>
  <si>
    <t>₩414,784,226,560</t>
  </si>
  <si>
    <t>043710</t>
  </si>
  <si>
    <t>서울리거</t>
  </si>
  <si>
    <t>₩14,615,960</t>
  </si>
  <si>
    <t>₩32,077,084,320</t>
  </si>
  <si>
    <t>464440</t>
  </si>
  <si>
    <t>한국제13호스팩</t>
  </si>
  <si>
    <t>₩4,885,437</t>
  </si>
  <si>
    <t>₩9,223,200,000</t>
  </si>
  <si>
    <t>000480</t>
  </si>
  <si>
    <t>CR홀딩스</t>
  </si>
  <si>
    <t>₩407,952,102</t>
  </si>
  <si>
    <t>₩265,400,173,400</t>
  </si>
  <si>
    <t>214680</t>
  </si>
  <si>
    <t>디알텍</t>
  </si>
  <si>
    <t>₩6,037,717,879</t>
  </si>
  <si>
    <t>₩215,736,975,410</t>
  </si>
  <si>
    <t>455910</t>
  </si>
  <si>
    <t>에스케이증권제9호스팩</t>
  </si>
  <si>
    <t>₩4,587,553</t>
  </si>
  <si>
    <t>₩10,617,300,000</t>
  </si>
  <si>
    <t>067990</t>
  </si>
  <si>
    <t>도이치모터스</t>
  </si>
  <si>
    <t>₩247,025,270</t>
  </si>
  <si>
    <t>₩138,986,037,750</t>
  </si>
  <si>
    <t>034220</t>
  </si>
  <si>
    <t>LG디스플레이</t>
  </si>
  <si>
    <t>₩11,213,063,484</t>
  </si>
  <si>
    <t>₩5,010,000,000,000</t>
  </si>
  <si>
    <t>003780</t>
  </si>
  <si>
    <t>진양산업</t>
  </si>
  <si>
    <t>₩306,080,078</t>
  </si>
  <si>
    <t>₩88,400,000,000</t>
  </si>
  <si>
    <t>123890</t>
  </si>
  <si>
    <t>한국자산신탁</t>
  </si>
  <si>
    <t>₩420,184,365</t>
  </si>
  <si>
    <t>₩356,436,037,000</t>
  </si>
  <si>
    <t>014915</t>
  </si>
  <si>
    <t>성문전자우</t>
  </si>
  <si>
    <t>₩2,614,862</t>
  </si>
  <si>
    <t>₩2,931,000,000</t>
  </si>
  <si>
    <t>226400</t>
  </si>
  <si>
    <t>오스테오닉</t>
  </si>
  <si>
    <t>₩2,615,589,758</t>
  </si>
  <si>
    <t>₩124,176,222,010</t>
  </si>
  <si>
    <t>056090</t>
  </si>
  <si>
    <t>이노시스</t>
  </si>
  <si>
    <t>₩939,767,408</t>
  </si>
  <si>
    <t>₩122,216,057,775</t>
  </si>
  <si>
    <t>004100</t>
  </si>
  <si>
    <t>태양금속</t>
  </si>
  <si>
    <t>₩1,894,647,979</t>
  </si>
  <si>
    <t>₩119,825,500,000</t>
  </si>
  <si>
    <t>041650</t>
  </si>
  <si>
    <t>상신브레이크</t>
  </si>
  <si>
    <t>₩119,687,698</t>
  </si>
  <si>
    <t>₩72,573,501,000</t>
  </si>
  <si>
    <t>247540</t>
  </si>
  <si>
    <t>에코프로비엠</t>
  </si>
  <si>
    <t>₩101,951,761,643</t>
  </si>
  <si>
    <t>₩14,934,265,228,800</t>
  </si>
  <si>
    <t>006620</t>
  </si>
  <si>
    <t>동구바이오제약</t>
  </si>
  <si>
    <t>₩3,638,971,002</t>
  </si>
  <si>
    <t>₩145,740,759,040</t>
  </si>
  <si>
    <t>353810</t>
  </si>
  <si>
    <t>이지바이오</t>
  </si>
  <si>
    <t>₩2,242,072,931</t>
  </si>
  <si>
    <t>₩120,183,895,800</t>
  </si>
  <si>
    <t>331920</t>
  </si>
  <si>
    <t>셀레믹스</t>
  </si>
  <si>
    <t>₩290,190,732</t>
  </si>
  <si>
    <t>₩30,166,526,860</t>
  </si>
  <si>
    <t>227840</t>
  </si>
  <si>
    <t>현대코퍼레이션홀딩스</t>
  </si>
  <si>
    <t>₩106,506,522</t>
  </si>
  <si>
    <t>₩96,377,853,240</t>
  </si>
  <si>
    <t>008500</t>
  </si>
  <si>
    <t>일정실업</t>
  </si>
  <si>
    <t>₩199,477,608</t>
  </si>
  <si>
    <t>₩17,400,000,000</t>
  </si>
  <si>
    <t>161390</t>
  </si>
  <si>
    <t>한국타이어앤테크놀로지</t>
  </si>
  <si>
    <t>₩15,712,094,755</t>
  </si>
  <si>
    <t>₩4,651,508,840,950</t>
  </si>
  <si>
    <t>129260</t>
  </si>
  <si>
    <t>인터지스</t>
  </si>
  <si>
    <t>₩33,306,518</t>
  </si>
  <si>
    <t>₩65,742,801,540</t>
  </si>
  <si>
    <t>086520</t>
  </si>
  <si>
    <t>에코프로</t>
  </si>
  <si>
    <t>₩62,572,296,719</t>
  </si>
  <si>
    <t>₩10,198,396,844,000</t>
  </si>
  <si>
    <t>242040</t>
  </si>
  <si>
    <t>나무기술</t>
  </si>
  <si>
    <t>₩4,972,030,380</t>
  </si>
  <si>
    <t>₩53,778,134,256</t>
  </si>
  <si>
    <t>078340</t>
  </si>
  <si>
    <t>컴투스</t>
  </si>
  <si>
    <t>₩3,741,382,531</t>
  </si>
  <si>
    <t>₩534,985,710,000</t>
  </si>
  <si>
    <t>032820</t>
  </si>
  <si>
    <t>우리기술</t>
  </si>
  <si>
    <t>₩21,314,214,322</t>
  </si>
  <si>
    <t>₩362,198,629,440</t>
  </si>
  <si>
    <t>083450</t>
  </si>
  <si>
    <t>GST</t>
  </si>
  <si>
    <t>₩6,067,372,784</t>
  </si>
  <si>
    <t>₩293,423,777,600</t>
  </si>
  <si>
    <t>473050</t>
  </si>
  <si>
    <t>유안타제15호스팩</t>
  </si>
  <si>
    <t>₩19,365,771</t>
  </si>
  <si>
    <t>₩14,055,050,000</t>
  </si>
  <si>
    <t>010240</t>
  </si>
  <si>
    <t>흥국</t>
  </si>
  <si>
    <t>₩45,193,017</t>
  </si>
  <si>
    <t>₩59,826,689,080</t>
  </si>
  <si>
    <t>001065</t>
  </si>
  <si>
    <t>JW중외제약우</t>
  </si>
  <si>
    <t>₩3,301,974</t>
  </si>
  <si>
    <t>₩10,463,700,600</t>
  </si>
  <si>
    <t>002355</t>
  </si>
  <si>
    <t>넥센타이어1우B</t>
  </si>
  <si>
    <t>₩30,809,698</t>
  </si>
  <si>
    <t>₩20,085,000,000</t>
  </si>
  <si>
    <t>232140</t>
  </si>
  <si>
    <t>와이씨</t>
  </si>
  <si>
    <t>₩17,839,512,704</t>
  </si>
  <si>
    <t>₩902,498,850,000</t>
  </si>
  <si>
    <t>090350</t>
  </si>
  <si>
    <t>노루페인트</t>
  </si>
  <si>
    <t>₩349,399,777</t>
  </si>
  <si>
    <t>₩169,400,000,000</t>
  </si>
  <si>
    <t>045060</t>
  </si>
  <si>
    <t>오공</t>
  </si>
  <si>
    <t>₩33,392,802</t>
  </si>
  <si>
    <t>₩45,658,619,930</t>
  </si>
  <si>
    <t>039840</t>
  </si>
  <si>
    <t>디오</t>
  </si>
  <si>
    <t>₩819,184,594</t>
  </si>
  <si>
    <t>₩242,404,795,900</t>
  </si>
  <si>
    <t>290690</t>
  </si>
  <si>
    <t>소룩스</t>
  </si>
  <si>
    <t>₩2,619,699,825</t>
  </si>
  <si>
    <t>₩406,889,556,200</t>
  </si>
  <si>
    <t>004720</t>
  </si>
  <si>
    <t>팜젠사이언스</t>
  </si>
  <si>
    <t>₩161,554,299</t>
  </si>
  <si>
    <t>₩88,438,524,125</t>
  </si>
  <si>
    <t>035900</t>
  </si>
  <si>
    <t>JYP Ent.</t>
  </si>
  <si>
    <t>₩20,629,254,048</t>
  </si>
  <si>
    <t>₩1,943,627,312,400</t>
  </si>
  <si>
    <t>016800</t>
  </si>
  <si>
    <t>퍼시스</t>
  </si>
  <si>
    <t>₩94,182,888</t>
  </si>
  <si>
    <t>₩483,000,000,000</t>
  </si>
  <si>
    <t>403550</t>
  </si>
  <si>
    <t>쏘카</t>
  </si>
  <si>
    <t>₩148,066,165</t>
  </si>
  <si>
    <t>₩587,058,596,780</t>
  </si>
  <si>
    <t>37550K</t>
  </si>
  <si>
    <t>DL이앤씨우</t>
  </si>
  <si>
    <t>₩69,492,436</t>
  </si>
  <si>
    <t>₩33,061,161,400</t>
  </si>
  <si>
    <t>039860</t>
  </si>
  <si>
    <t>나노엔텍</t>
  </si>
  <si>
    <t>₩31,274,144,703</t>
  </si>
  <si>
    <t>₩122,660,513,240</t>
  </si>
  <si>
    <t>001230</t>
  </si>
  <si>
    <t>동국홀딩스</t>
  </si>
  <si>
    <t>₩163,911,402</t>
  </si>
  <si>
    <t>₩246,771,748,080</t>
  </si>
  <si>
    <t>079940</t>
  </si>
  <si>
    <t>가비아</t>
  </si>
  <si>
    <t>₩165,639,289</t>
  </si>
  <si>
    <t>₩176,234,605,680</t>
  </si>
  <si>
    <t>024120</t>
  </si>
  <si>
    <t>KB오토시스</t>
  </si>
  <si>
    <t>₩38,218,229</t>
  </si>
  <si>
    <t>₩40,767,500,000</t>
  </si>
  <si>
    <t>004800</t>
  </si>
  <si>
    <t>효성</t>
  </si>
  <si>
    <t>₩713,473,564</t>
  </si>
  <si>
    <t>₩848,738,634,900</t>
  </si>
  <si>
    <t>100660</t>
  </si>
  <si>
    <t>서암기계공업</t>
  </si>
  <si>
    <t>₩444,223,550</t>
  </si>
  <si>
    <t>₩49,833,000,000</t>
  </si>
  <si>
    <t>000590</t>
  </si>
  <si>
    <t>CS홀딩스</t>
  </si>
  <si>
    <t>₩35,040,319</t>
  </si>
  <si>
    <t>₩80,698,291,800</t>
  </si>
  <si>
    <t>041460</t>
  </si>
  <si>
    <t>한국전자인증</t>
  </si>
  <si>
    <t>₩853,849,746</t>
  </si>
  <si>
    <t>₩61,370,000,000</t>
  </si>
  <si>
    <t>032300</t>
  </si>
  <si>
    <t>한국파마</t>
  </si>
  <si>
    <t>₩20,490,397,549</t>
  </si>
  <si>
    <t>₩188,140,592,250</t>
  </si>
  <si>
    <t>067080</t>
  </si>
  <si>
    <t>대화제약</t>
  </si>
  <si>
    <t>₩32,410,119,132</t>
  </si>
  <si>
    <t>₩272,361,589,500</t>
  </si>
  <si>
    <t>340360</t>
  </si>
  <si>
    <t>다보링크</t>
  </si>
  <si>
    <t>₩5,953,094,421</t>
  </si>
  <si>
    <t>₩106,735,001,520</t>
  </si>
  <si>
    <t>179530</t>
  </si>
  <si>
    <t>애드바이오텍</t>
  </si>
  <si>
    <t>₩253,448,484</t>
  </si>
  <si>
    <t>₩27,375,629,780</t>
  </si>
  <si>
    <t>039490</t>
  </si>
  <si>
    <t>키움증권</t>
  </si>
  <si>
    <t>₩7,478,917,400</t>
  </si>
  <si>
    <t>₩3,282,734,391,600</t>
  </si>
  <si>
    <t>051390</t>
  </si>
  <si>
    <t>YW</t>
  </si>
  <si>
    <t>₩13,701,624</t>
  </si>
  <si>
    <t>₩42,525,853,160</t>
  </si>
  <si>
    <t>086890</t>
  </si>
  <si>
    <t>이수앱지스</t>
  </si>
  <si>
    <t>₩685,282,849</t>
  </si>
  <si>
    <t>₩201,770,577,560</t>
  </si>
  <si>
    <t>005800</t>
  </si>
  <si>
    <t>신영와코루</t>
  </si>
  <si>
    <t>₩10,774,088</t>
  </si>
  <si>
    <t>₩81,630,000,000</t>
  </si>
  <si>
    <t>032960</t>
  </si>
  <si>
    <t>동일기연</t>
  </si>
  <si>
    <t>₩49,412,687</t>
  </si>
  <si>
    <t>₩43,411,057,470</t>
  </si>
  <si>
    <t>377740</t>
  </si>
  <si>
    <t>바이오노트</t>
  </si>
  <si>
    <t>₩1,546,501,978</t>
  </si>
  <si>
    <t>₩482,725,107,040</t>
  </si>
  <si>
    <t>054050</t>
  </si>
  <si>
    <t>농우바이오</t>
  </si>
  <si>
    <t>₩100,159,602</t>
  </si>
  <si>
    <t>₩117,023,095,300</t>
  </si>
  <si>
    <t>192390</t>
  </si>
  <si>
    <t>윈하이텍</t>
  </si>
  <si>
    <t>₩151,828,753</t>
  </si>
  <si>
    <t>₩41,351,090,935</t>
  </si>
  <si>
    <t>069080</t>
  </si>
  <si>
    <t>웹젠</t>
  </si>
  <si>
    <t>₩1,037,036,155</t>
  </si>
  <si>
    <t>₩527,758,348,400</t>
  </si>
  <si>
    <t>244920</t>
  </si>
  <si>
    <t>에이플러스에셋</t>
  </si>
  <si>
    <t>₩177,448,142</t>
  </si>
  <si>
    <t>₩101,508,541,570</t>
  </si>
  <si>
    <t>004545</t>
  </si>
  <si>
    <t>깨끗한나라우</t>
  </si>
  <si>
    <t>₩4,484,010</t>
  </si>
  <si>
    <t>₩4,247,456,000</t>
  </si>
  <si>
    <t>138580</t>
  </si>
  <si>
    <t>비즈니스온</t>
  </si>
  <si>
    <t>₩39,100,110</t>
  </si>
  <si>
    <t>₩356,042,480,800</t>
  </si>
  <si>
    <t>016450</t>
  </si>
  <si>
    <t>한세예스24홀딩스</t>
  </si>
  <si>
    <t>₩16,904,353,868</t>
  </si>
  <si>
    <t>₩184,600,000,000</t>
  </si>
  <si>
    <t>139130</t>
  </si>
  <si>
    <t>DGB금융지주</t>
  </si>
  <si>
    <t>₩4,107,201,170</t>
  </si>
  <si>
    <t>₩1,402,218,955,570</t>
  </si>
  <si>
    <t>286940</t>
  </si>
  <si>
    <t>롯데이노베이트</t>
  </si>
  <si>
    <t>₩870,727,231</t>
  </si>
  <si>
    <t>₩327,550,795,550</t>
  </si>
  <si>
    <t>007110</t>
  </si>
  <si>
    <t>일신석재</t>
  </si>
  <si>
    <t>₩35,251,943,085</t>
  </si>
  <si>
    <t>₩138,027,679,020</t>
  </si>
  <si>
    <t>381970</t>
  </si>
  <si>
    <t>케이카</t>
  </si>
  <si>
    <t>₩1,157,481,858</t>
  </si>
  <si>
    <t>₩606,612,299,070</t>
  </si>
  <si>
    <t>010420</t>
  </si>
  <si>
    <t>한솔PNS</t>
  </si>
  <si>
    <t>₩12,340,595</t>
  </si>
  <si>
    <t>₩20,800,407,180</t>
  </si>
  <si>
    <t>012860</t>
  </si>
  <si>
    <t>모베이스전자</t>
  </si>
  <si>
    <t>₩140,577,878</t>
  </si>
  <si>
    <t>₩125,595,378,755</t>
  </si>
  <si>
    <t>000390</t>
  </si>
  <si>
    <t>삼화페인트</t>
  </si>
  <si>
    <t>₩575,325,932</t>
  </si>
  <si>
    <t>₩181,447,138,230</t>
  </si>
  <si>
    <t>071050</t>
  </si>
  <si>
    <t>한국금융지주</t>
  </si>
  <si>
    <t>₩10,015,479,033</t>
  </si>
  <si>
    <t>₩4,324,336,979,200</t>
  </si>
  <si>
    <t>452670</t>
  </si>
  <si>
    <t>상상인제4호스팩</t>
  </si>
  <si>
    <t>₩16,822,727</t>
  </si>
  <si>
    <t>₩10,492,200,000</t>
  </si>
  <si>
    <t>049520</t>
  </si>
  <si>
    <t>유아이엘</t>
  </si>
  <si>
    <t>₩283,361,945</t>
  </si>
  <si>
    <t>₩109,578,228,080</t>
  </si>
  <si>
    <t>054040</t>
  </si>
  <si>
    <t>한국컴퓨터</t>
  </si>
  <si>
    <t>₩373,095,863</t>
  </si>
  <si>
    <t>₩83,570,708,000</t>
  </si>
  <si>
    <t>009240</t>
  </si>
  <si>
    <t>한샘</t>
  </si>
  <si>
    <t>₩1,351,697,490</t>
  </si>
  <si>
    <t>₩1,228,471,041,600</t>
  </si>
  <si>
    <t>187660</t>
  </si>
  <si>
    <t>현대ADM</t>
  </si>
  <si>
    <t>₩866,476,225</t>
  </si>
  <si>
    <t>₩77,409,506,250</t>
  </si>
  <si>
    <t>004690</t>
  </si>
  <si>
    <t>삼천리</t>
  </si>
  <si>
    <t>₩618,673,486</t>
  </si>
  <si>
    <t>₩361,302,727,500</t>
  </si>
  <si>
    <t>049800</t>
  </si>
  <si>
    <t>우진플라임</t>
  </si>
  <si>
    <t>₩36,358,300</t>
  </si>
  <si>
    <t>₩44,000,000,000</t>
  </si>
  <si>
    <t>432320</t>
  </si>
  <si>
    <t>KB스타리츠</t>
  </si>
  <si>
    <t>₩251,163,051</t>
  </si>
  <si>
    <t>₩402,107,640,025</t>
  </si>
  <si>
    <t>369370</t>
  </si>
  <si>
    <t>블리츠웨이스튜디오</t>
  </si>
  <si>
    <t>₩11,119,640</t>
  </si>
  <si>
    <t>₩79,495,826,134</t>
  </si>
  <si>
    <t>237690</t>
  </si>
  <si>
    <t>에스티팜</t>
  </si>
  <si>
    <t>₩29,459,820,171</t>
  </si>
  <si>
    <t>₩1,984,475,069,200</t>
  </si>
  <si>
    <t>131030</t>
  </si>
  <si>
    <t>옵투스제약</t>
  </si>
  <si>
    <t>₩447,948,526</t>
  </si>
  <si>
    <t>₩98,211,224,960</t>
  </si>
  <si>
    <t>048870</t>
  </si>
  <si>
    <t>시너지이노베이션</t>
  </si>
  <si>
    <t>₩2,242,839,222</t>
  </si>
  <si>
    <t>₩221,244,820,200</t>
  </si>
  <si>
    <t>007070</t>
  </si>
  <si>
    <t>GS리테일</t>
  </si>
  <si>
    <t>₩3,117,887,524</t>
  </si>
  <si>
    <t>₩2,136,245,608,800</t>
  </si>
  <si>
    <t>038010</t>
  </si>
  <si>
    <t>제일테크노스</t>
  </si>
  <si>
    <t>₩210,414,433</t>
  </si>
  <si>
    <t>₩62,910,000,000</t>
  </si>
  <si>
    <t>010280</t>
  </si>
  <si>
    <t>쌍용정보통신</t>
  </si>
  <si>
    <t>₩34,015,970</t>
  </si>
  <si>
    <t>₩39,009,147,814</t>
  </si>
  <si>
    <t>035420</t>
  </si>
  <si>
    <t>NAVER</t>
  </si>
  <si>
    <t>₩106,139,595,852</t>
  </si>
  <si>
    <t>₩28,298,073,408,000</t>
  </si>
  <si>
    <t>025750</t>
  </si>
  <si>
    <t>한솔홈데코</t>
  </si>
  <si>
    <t>₩39,509,315</t>
  </si>
  <si>
    <t>₩54,945,431,618</t>
  </si>
  <si>
    <t>002995</t>
  </si>
  <si>
    <t>금호건설우</t>
  </si>
  <si>
    <t>₩3,789,358</t>
  </si>
  <si>
    <t>₩2,583,631,440</t>
  </si>
  <si>
    <t>101170</t>
  </si>
  <si>
    <t>우림피티에스</t>
  </si>
  <si>
    <t>₩403,471,100</t>
  </si>
  <si>
    <t>₩73,035,000,000</t>
  </si>
  <si>
    <t>261780</t>
  </si>
  <si>
    <t>차백신연구소</t>
  </si>
  <si>
    <t>₩171,218,468</t>
  </si>
  <si>
    <t>₩105,421,259,640</t>
  </si>
  <si>
    <t>096760</t>
  </si>
  <si>
    <t>JW홀딩스</t>
  </si>
  <si>
    <t>₩193,101,288</t>
  </si>
  <si>
    <t>₩218,817,828,320</t>
  </si>
  <si>
    <t>016580</t>
  </si>
  <si>
    <t>환인제약</t>
  </si>
  <si>
    <t>₩204,138,327</t>
  </si>
  <si>
    <t>₩242,916,914,200</t>
  </si>
  <si>
    <t>064260</t>
  </si>
  <si>
    <t>다날</t>
  </si>
  <si>
    <t>₩1,805,957,877</t>
  </si>
  <si>
    <t>₩223,394,889,600</t>
  </si>
  <si>
    <t>003220</t>
  </si>
  <si>
    <t>대원제약</t>
  </si>
  <si>
    <t>₩6,515,308,183</t>
  </si>
  <si>
    <t>₩322,060,091,880</t>
  </si>
  <si>
    <t>072020</t>
  </si>
  <si>
    <t>중앙백신</t>
  </si>
  <si>
    <t>₩593,368,570</t>
  </si>
  <si>
    <t>₩99,001,541,750</t>
  </si>
  <si>
    <t>046390</t>
  </si>
  <si>
    <t>삼화네트웍스</t>
  </si>
  <si>
    <t>₩4,432,752,958</t>
  </si>
  <si>
    <t>₩64,241,324,304</t>
  </si>
  <si>
    <t>206640</t>
  </si>
  <si>
    <t>바디텍메드</t>
  </si>
  <si>
    <t>₩3,649,770,886</t>
  </si>
  <si>
    <t>₩387,528,240,000</t>
  </si>
  <si>
    <t>002320</t>
  </si>
  <si>
    <t>한진</t>
  </si>
  <si>
    <t>₩385,472,754</t>
  </si>
  <si>
    <t>₩273,840,544,960</t>
  </si>
  <si>
    <t>010170</t>
  </si>
  <si>
    <t>대한광통신</t>
  </si>
  <si>
    <t>₩107,171,032</t>
  </si>
  <si>
    <t>₩78,832,813,628</t>
  </si>
  <si>
    <t>023350</t>
  </si>
  <si>
    <t>한국종합기술</t>
  </si>
  <si>
    <t>₩446,550,451</t>
  </si>
  <si>
    <t>₩48,837,000,000</t>
  </si>
  <si>
    <t>195940</t>
  </si>
  <si>
    <t>HK이노엔</t>
  </si>
  <si>
    <t>₩13,052,906,050</t>
  </si>
  <si>
    <t>₩1,255,014,171,300</t>
  </si>
  <si>
    <t>001630</t>
  </si>
  <si>
    <t>종근당홀딩스</t>
  </si>
  <si>
    <t>₩117,814,557</t>
  </si>
  <si>
    <t>₩275,542,355,000</t>
  </si>
  <si>
    <t>005250</t>
  </si>
  <si>
    <t>녹십자홀딩스</t>
  </si>
  <si>
    <t>₩773,807,765</t>
  </si>
  <si>
    <t>₩756,213,616,800</t>
  </si>
  <si>
    <t>140520</t>
  </si>
  <si>
    <t>대창스틸</t>
  </si>
  <si>
    <t>₩15,941,257</t>
  </si>
  <si>
    <t>₩47,812,435,395</t>
  </si>
  <si>
    <t>084180</t>
  </si>
  <si>
    <t>수성웹툰</t>
  </si>
  <si>
    <t>₩4,618,831,705</t>
  </si>
  <si>
    <t>₩68,172,042,367</t>
  </si>
  <si>
    <t>446750</t>
  </si>
  <si>
    <t>하나26호스팩</t>
  </si>
  <si>
    <t>₩9,307,041</t>
  </si>
  <si>
    <t>₩12,783,600,000</t>
  </si>
  <si>
    <t>024840</t>
  </si>
  <si>
    <t>KBI메탈</t>
  </si>
  <si>
    <t>₩2,708,556,006</t>
  </si>
  <si>
    <t>₩88,669,365,460</t>
  </si>
  <si>
    <t>389470</t>
  </si>
  <si>
    <t>인벤티지랩</t>
  </si>
  <si>
    <t>₩13,005,710,781</t>
  </si>
  <si>
    <t>₩158,607,089,940</t>
  </si>
  <si>
    <t>007370</t>
  </si>
  <si>
    <t>진양제약</t>
  </si>
  <si>
    <t>₩10,850,796,489</t>
  </si>
  <si>
    <t>₩71,047,998,550</t>
  </si>
  <si>
    <t>101730</t>
  </si>
  <si>
    <t>위메이드맥스</t>
  </si>
  <si>
    <t>₩1,064,707,989</t>
  </si>
  <si>
    <t>₩304,318,968,880</t>
  </si>
  <si>
    <t>005740</t>
  </si>
  <si>
    <t>크라운해태홀딩스</t>
  </si>
  <si>
    <t>₩157,406,047</t>
  </si>
  <si>
    <t>₩85,669,192,190</t>
  </si>
  <si>
    <t>26490K</t>
  </si>
  <si>
    <t>크라운제과우</t>
  </si>
  <si>
    <t>₩10,828,732</t>
  </si>
  <si>
    <t>₩7,735,600,000</t>
  </si>
  <si>
    <t>058820</t>
  </si>
  <si>
    <t>CMG제약</t>
  </si>
  <si>
    <t>₩1,849,216,355</t>
  </si>
  <si>
    <t>₩282,645,716,540</t>
  </si>
  <si>
    <t>258790</t>
  </si>
  <si>
    <t>소프트캠프</t>
  </si>
  <si>
    <t>₩46,558,332</t>
  </si>
  <si>
    <t>₩22,492,155,600</t>
  </si>
  <si>
    <t>043260</t>
  </si>
  <si>
    <t>성호전자</t>
  </si>
  <si>
    <t>₩384,991,006</t>
  </si>
  <si>
    <t>₩86,989,121,514</t>
  </si>
  <si>
    <t>128940</t>
  </si>
  <si>
    <t>한미약품</t>
  </si>
  <si>
    <t>₩42,625,470,262</t>
  </si>
  <si>
    <t>₩4,342,925,949,000</t>
  </si>
  <si>
    <t>101400</t>
  </si>
  <si>
    <t>엔시트론</t>
  </si>
  <si>
    <t>₩59,991,309</t>
  </si>
  <si>
    <t>₩25,548,751,743</t>
  </si>
  <si>
    <t>013700</t>
  </si>
  <si>
    <t>까뮤이앤씨</t>
  </si>
  <si>
    <t>₩28,517,790</t>
  </si>
  <si>
    <t>₩77,735,829,830</t>
  </si>
  <si>
    <t>333620</t>
  </si>
  <si>
    <t>엔시스</t>
  </si>
  <si>
    <t>₩295,562,596</t>
  </si>
  <si>
    <t>₩96,379,420,720</t>
  </si>
  <si>
    <t>000970</t>
  </si>
  <si>
    <t>한국주철관</t>
  </si>
  <si>
    <t>₩122,871,623</t>
  </si>
  <si>
    <t>₩144,555,170,000</t>
  </si>
  <si>
    <t>080010</t>
  </si>
  <si>
    <t>이상네트웍스</t>
  </si>
  <si>
    <t>₩40,144,091</t>
  </si>
  <si>
    <t>₩51,634,122,750</t>
  </si>
  <si>
    <t>109820</t>
  </si>
  <si>
    <t>진매트릭스</t>
  </si>
  <si>
    <t>₩1,937,210,440</t>
  </si>
  <si>
    <t>₩60,365,174,400</t>
  </si>
  <si>
    <t>220100</t>
  </si>
  <si>
    <t>퓨쳐켐</t>
  </si>
  <si>
    <t>₩25,694,565,171</t>
  </si>
  <si>
    <t>₩514,980,211,500</t>
  </si>
  <si>
    <t>383800</t>
  </si>
  <si>
    <t>LX홀딩스</t>
  </si>
  <si>
    <t>₩459,495,754</t>
  </si>
  <si>
    <t>₩533,202,023,100</t>
  </si>
  <si>
    <t>430700</t>
  </si>
  <si>
    <t>유안타제9호스팩</t>
  </si>
  <si>
    <t>₩15,904,003</t>
  </si>
  <si>
    <t>₩11,030,200,000</t>
  </si>
  <si>
    <t>130660</t>
  </si>
  <si>
    <t>한전산업</t>
  </si>
  <si>
    <t>₩8,330,641,159</t>
  </si>
  <si>
    <t>₩417,280,000,000</t>
  </si>
  <si>
    <t>001527</t>
  </si>
  <si>
    <t>동양2우B</t>
  </si>
  <si>
    <t>₩5,079,596</t>
  </si>
  <si>
    <t>₩2,807,977,900</t>
  </si>
  <si>
    <t>099750</t>
  </si>
  <si>
    <t>이지케어텍</t>
  </si>
  <si>
    <t>₩123,260,928</t>
  </si>
  <si>
    <t>₩109,903,198,080</t>
  </si>
  <si>
    <t>445970</t>
  </si>
  <si>
    <t>신영스팩9호</t>
  </si>
  <si>
    <t>₩8,175,836</t>
  </si>
  <si>
    <t>₩11,631,200,000</t>
  </si>
  <si>
    <t>319400</t>
  </si>
  <si>
    <t>현대무벡스</t>
  </si>
  <si>
    <t>₩2,200,915,549</t>
  </si>
  <si>
    <t>₩355,577,995,160</t>
  </si>
  <si>
    <t>071090</t>
  </si>
  <si>
    <t>하이스틸</t>
  </si>
  <si>
    <t>₩686,721,750</t>
  </si>
  <si>
    <t>₩64,410,792,490</t>
  </si>
  <si>
    <t>023900</t>
  </si>
  <si>
    <t>풍국주정</t>
  </si>
  <si>
    <t>₩87,646,238</t>
  </si>
  <si>
    <t>₩127,260,000,000</t>
  </si>
  <si>
    <t>101000</t>
  </si>
  <si>
    <t>KS인더스트리</t>
  </si>
  <si>
    <t>₩441,741,408</t>
  </si>
  <si>
    <t>₩69,344,123,700</t>
  </si>
  <si>
    <t>039030</t>
  </si>
  <si>
    <t>이오테크닉스</t>
  </si>
  <si>
    <t>₩17,152,803,814</t>
  </si>
  <si>
    <t>₩1,823,293,400,000</t>
  </si>
  <si>
    <t>041960</t>
  </si>
  <si>
    <t>코미팜</t>
  </si>
  <si>
    <t>₩332,793,584</t>
  </si>
  <si>
    <t>₩298,378,934,425</t>
  </si>
  <si>
    <t>160550</t>
  </si>
  <si>
    <t>NEW</t>
  </si>
  <si>
    <t>₩687,547,215</t>
  </si>
  <si>
    <t>₩63,067,799,560</t>
  </si>
  <si>
    <t>004080</t>
  </si>
  <si>
    <t>신흥</t>
  </si>
  <si>
    <t>₩24,858,518</t>
  </si>
  <si>
    <t>₩136,040,000,000</t>
  </si>
  <si>
    <t>000227</t>
  </si>
  <si>
    <t>유유제약2우B</t>
  </si>
  <si>
    <t>₩3,785,481</t>
  </si>
  <si>
    <t>₩3,304,434,000</t>
  </si>
  <si>
    <t>053050</t>
  </si>
  <si>
    <t>지에스이</t>
  </si>
  <si>
    <t>₩3,640,793,986</t>
  </si>
  <si>
    <t>₩101,657,953,830</t>
  </si>
  <si>
    <t>039420</t>
  </si>
  <si>
    <t>케이엘넷</t>
  </si>
  <si>
    <t>₩83,901,644</t>
  </si>
  <si>
    <t>₩62,560,750,700</t>
  </si>
  <si>
    <t>383930</t>
  </si>
  <si>
    <t>디티앤씨알오</t>
  </si>
  <si>
    <t>₩936,432,165</t>
  </si>
  <si>
    <t>₩82,497,507,520</t>
  </si>
  <si>
    <t>293490</t>
  </si>
  <si>
    <t>카카오게임즈</t>
  </si>
  <si>
    <t>₩3,853,884,465</t>
  </si>
  <si>
    <t>₩1,354,184,165,880</t>
  </si>
  <si>
    <t>458610</t>
  </si>
  <si>
    <t>한국제12호스팩</t>
  </si>
  <si>
    <t>₩4,367,332</t>
  </si>
  <si>
    <t>₩9,157,950,000</t>
  </si>
  <si>
    <t>403870</t>
  </si>
  <si>
    <t>HPSP</t>
  </si>
  <si>
    <t>₩58,575,241,174</t>
  </si>
  <si>
    <t>₩2,770,000,409,600</t>
  </si>
  <si>
    <t>228340</t>
  </si>
  <si>
    <t>동양파일</t>
  </si>
  <si>
    <t>₩17,818,273</t>
  </si>
  <si>
    <t>₩36,400,000,000</t>
  </si>
  <si>
    <t>332570</t>
  </si>
  <si>
    <t>와이팜</t>
  </si>
  <si>
    <t>₩126,615,723</t>
  </si>
  <si>
    <t>₩102,417,086,250</t>
  </si>
  <si>
    <t>031330</t>
  </si>
  <si>
    <t>에스에이엠티</t>
  </si>
  <si>
    <t>₩573,831,039</t>
  </si>
  <si>
    <t>₩301,985,102,340</t>
  </si>
  <si>
    <t>065650</t>
  </si>
  <si>
    <t>하이퍼코퍼레이션</t>
  </si>
  <si>
    <t>₩775,723,905</t>
  </si>
  <si>
    <t>₩129,298,254,336</t>
  </si>
  <si>
    <t>473000</t>
  </si>
  <si>
    <t>에스케이증권제12호스팩</t>
  </si>
  <si>
    <t>₩8,441,702</t>
  </si>
  <si>
    <t>₩6,934,450,000</t>
  </si>
  <si>
    <t>002230</t>
  </si>
  <si>
    <t>피에스텍</t>
  </si>
  <si>
    <t>₩28,154,168</t>
  </si>
  <si>
    <t>₩69,831,276,165</t>
  </si>
  <si>
    <t>002420</t>
  </si>
  <si>
    <t>세기상사</t>
  </si>
  <si>
    <t>₩55,221,770</t>
  </si>
  <si>
    <t>₩32,852,791,680</t>
  </si>
  <si>
    <t>221980</t>
  </si>
  <si>
    <t>케이디켐</t>
  </si>
  <si>
    <t>₩7,119,261</t>
  </si>
  <si>
    <t>₩48,498,296,000</t>
  </si>
  <si>
    <t>038390</t>
  </si>
  <si>
    <t>레드캡투어</t>
  </si>
  <si>
    <t>₩493,574,841</t>
  </si>
  <si>
    <t>₩145,763,475,600</t>
  </si>
  <si>
    <t>250000</t>
  </si>
  <si>
    <t>보라티알</t>
  </si>
  <si>
    <t>₩484,948,860</t>
  </si>
  <si>
    <t>₩63,996,948,840</t>
  </si>
  <si>
    <t>278470</t>
  </si>
  <si>
    <t>에이피알</t>
  </si>
  <si>
    <t>₩15,671,272,762</t>
  </si>
  <si>
    <t>₩1,795,140,669,000</t>
  </si>
  <si>
    <t>081660</t>
  </si>
  <si>
    <t>휠라홀딩스</t>
  </si>
  <si>
    <t>₩4,988,823,750</t>
  </si>
  <si>
    <t>₩2,268,617,922,250</t>
  </si>
  <si>
    <t>257720</t>
  </si>
  <si>
    <t>실리콘투</t>
  </si>
  <si>
    <t>₩47,571,571,595</t>
  </si>
  <si>
    <t>₩2,325,357,538,800</t>
  </si>
  <si>
    <t>256940</t>
  </si>
  <si>
    <t>케이피에스</t>
  </si>
  <si>
    <t>₩176,747,945</t>
  </si>
  <si>
    <t>₩110,242,109,040</t>
  </si>
  <si>
    <t>036570</t>
  </si>
  <si>
    <t>엔씨소프트</t>
  </si>
  <si>
    <t>₩21,528,667,733</t>
  </si>
  <si>
    <t>₩4,588,390,598,000</t>
  </si>
  <si>
    <t>272110</t>
  </si>
  <si>
    <t>케이엔제이</t>
  </si>
  <si>
    <t>₩415,292,608</t>
  </si>
  <si>
    <t>₩127,605,996,300</t>
  </si>
  <si>
    <t>117580</t>
  </si>
  <si>
    <t>대성에너지</t>
  </si>
  <si>
    <t>₩1,610,780,696</t>
  </si>
  <si>
    <t>₩249,425,000,000</t>
  </si>
  <si>
    <t>474660</t>
  </si>
  <si>
    <t>신한제12호스팩</t>
  </si>
  <si>
    <t>₩10,971,728</t>
  </si>
  <si>
    <t>₩11,674,800,000</t>
  </si>
  <si>
    <t>034020</t>
  </si>
  <si>
    <t>두산에너빌리티</t>
  </si>
  <si>
    <t>₩197,292,080,383</t>
  </si>
  <si>
    <t>₩13,387,727,951,400</t>
  </si>
  <si>
    <t>950130</t>
  </si>
  <si>
    <t>엑세스바이오</t>
  </si>
  <si>
    <t>₩1,163,898,505</t>
  </si>
  <si>
    <t>₩221,085,095,520</t>
  </si>
  <si>
    <t>000320</t>
  </si>
  <si>
    <t>노루홀딩스</t>
  </si>
  <si>
    <t>₩139,823,891</t>
  </si>
  <si>
    <t>₩173,582,432,060</t>
  </si>
  <si>
    <t>148250</t>
  </si>
  <si>
    <t>알엔투테크놀로지</t>
  </si>
  <si>
    <t>₩253,997,416</t>
  </si>
  <si>
    <t>₩30,008,215,160</t>
  </si>
  <si>
    <t>065450</t>
  </si>
  <si>
    <t>빅텍</t>
  </si>
  <si>
    <t>₩13,742,509,287</t>
  </si>
  <si>
    <t>₩130,513,504,000</t>
  </si>
  <si>
    <t>039200</t>
  </si>
  <si>
    <t>오스코텍</t>
  </si>
  <si>
    <t>₩24,250,244,014</t>
  </si>
  <si>
    <t>₩981,052,889,400</t>
  </si>
  <si>
    <t>105840</t>
  </si>
  <si>
    <t>우진</t>
  </si>
  <si>
    <t>₩2,298,168,913</t>
  </si>
  <si>
    <t>₩166,653,634,800</t>
  </si>
  <si>
    <t>397030</t>
  </si>
  <si>
    <t>에이프릴바이오</t>
  </si>
  <si>
    <t>₩12,925,229,443</t>
  </si>
  <si>
    <t>₩492,461,332,200</t>
  </si>
  <si>
    <t>00806K</t>
  </si>
  <si>
    <t>대덕1우</t>
  </si>
  <si>
    <t>₩1,628,078</t>
  </si>
  <si>
    <t>₩7,953,061,920</t>
  </si>
  <si>
    <t>065690</t>
  </si>
  <si>
    <t>파커스</t>
  </si>
  <si>
    <t>₩14,368,997</t>
  </si>
  <si>
    <t>₩15,032,784,170</t>
  </si>
  <si>
    <t>067770</t>
  </si>
  <si>
    <t>세진티에스</t>
  </si>
  <si>
    <t>₩30,007,124</t>
  </si>
  <si>
    <t>₩20,571,652,850</t>
  </si>
  <si>
    <t>224060</t>
  </si>
  <si>
    <t>더코디</t>
  </si>
  <si>
    <t>₩49,582,067</t>
  </si>
  <si>
    <t>₩20,964,177,170</t>
  </si>
  <si>
    <t>102460</t>
  </si>
  <si>
    <t>이연제약</t>
  </si>
  <si>
    <t>₩2,425,170,770</t>
  </si>
  <si>
    <t>₩281,776,054,760</t>
  </si>
  <si>
    <t>091120</t>
  </si>
  <si>
    <t>이엠텍</t>
  </si>
  <si>
    <t>₩6,028,790,257</t>
  </si>
  <si>
    <t>₩406,050,583,200</t>
  </si>
  <si>
    <t>145995</t>
  </si>
  <si>
    <t>삼양사우</t>
  </si>
  <si>
    <t>₩12,840,850</t>
  </si>
  <si>
    <t>₩11,546,184,000</t>
  </si>
  <si>
    <t>256150</t>
  </si>
  <si>
    <t>한독크린텍</t>
  </si>
  <si>
    <t>₩83,565,304</t>
  </si>
  <si>
    <t>₩55,994,650,000</t>
  </si>
  <si>
    <t>066620</t>
  </si>
  <si>
    <t>국보디자인</t>
  </si>
  <si>
    <t>₩91,925,780</t>
  </si>
  <si>
    <t>₩127,500,000,000</t>
  </si>
  <si>
    <t>035610</t>
  </si>
  <si>
    <t>솔본</t>
  </si>
  <si>
    <t>₩90,647,313</t>
  </si>
  <si>
    <t>₩106,922,848,270</t>
  </si>
  <si>
    <t>001380</t>
  </si>
  <si>
    <t>SG글로벌</t>
  </si>
  <si>
    <t>₩1,200,935,467</t>
  </si>
  <si>
    <t>₩133,318,683,995</t>
  </si>
  <si>
    <t>086790</t>
  </si>
  <si>
    <t>하나금융지주</t>
  </si>
  <si>
    <t>₩72,427,074,919</t>
  </si>
  <si>
    <t>₩17,751,486,384,000</t>
  </si>
  <si>
    <t>008290</t>
  </si>
  <si>
    <t>원풍물산</t>
  </si>
  <si>
    <t>₩13,385,809</t>
  </si>
  <si>
    <t>₩22,381,523,450</t>
  </si>
  <si>
    <t>014910</t>
  </si>
  <si>
    <t>성문전자</t>
  </si>
  <si>
    <t>₩52,627,297</t>
  </si>
  <si>
    <t>₩27,402,401,700</t>
  </si>
  <si>
    <t>017670</t>
  </si>
  <si>
    <t>SK텔레콤</t>
  </si>
  <si>
    <t>₩26,973,319,638</t>
  </si>
  <si>
    <t>₩12,135,637,994,500</t>
  </si>
  <si>
    <t>001420</t>
  </si>
  <si>
    <t>태원물산</t>
  </si>
  <si>
    <t>₩14,279,334</t>
  </si>
  <si>
    <t>₩28,006,000,000</t>
  </si>
  <si>
    <t>000650</t>
  </si>
  <si>
    <t>천일고속</t>
  </si>
  <si>
    <t>₩7,415,814</t>
  </si>
  <si>
    <t>₩57,454,644,000</t>
  </si>
  <si>
    <t>039240</t>
  </si>
  <si>
    <t>경남스틸</t>
  </si>
  <si>
    <t>₩174,394,563</t>
  </si>
  <si>
    <t>₩76,082,483,280</t>
  </si>
  <si>
    <t>286750</t>
  </si>
  <si>
    <t>나노브릭</t>
  </si>
  <si>
    <t>₩712,939,260</t>
  </si>
  <si>
    <t>₩38,057,294,001</t>
  </si>
  <si>
    <t>025890</t>
  </si>
  <si>
    <t>한국주강</t>
  </si>
  <si>
    <t>₩25,838,596</t>
  </si>
  <si>
    <t>₩22,234,003,194</t>
  </si>
  <si>
    <t>002840</t>
  </si>
  <si>
    <t>미원상사</t>
  </si>
  <si>
    <t>₩228,848,176</t>
  </si>
  <si>
    <t>₩938,600,000,000</t>
  </si>
  <si>
    <t>034950</t>
  </si>
  <si>
    <t>한국기업평가</t>
  </si>
  <si>
    <t>₩146,606,995</t>
  </si>
  <si>
    <t>₩388,213,947,000</t>
  </si>
  <si>
    <t>034310</t>
  </si>
  <si>
    <t>NICE</t>
  </si>
  <si>
    <t>₩231,190,065</t>
  </si>
  <si>
    <t>₩416,288,594,700</t>
  </si>
  <si>
    <t>008040</t>
  </si>
  <si>
    <t>사조동아원</t>
  </si>
  <si>
    <t>₩1,379,734,731</t>
  </si>
  <si>
    <t>₩139,168,575,600</t>
  </si>
  <si>
    <t>439410</t>
  </si>
  <si>
    <t>엔에이치스팩26호</t>
  </si>
  <si>
    <t>₩43,524,589</t>
  </si>
  <si>
    <t>₩18,260,000,000</t>
  </si>
  <si>
    <t>177830</t>
  </si>
  <si>
    <t>파버나인</t>
  </si>
  <si>
    <t>₩64,113,469</t>
  </si>
  <si>
    <t>₩44,080,803,005</t>
  </si>
  <si>
    <t>038070</t>
  </si>
  <si>
    <t>서린바이오</t>
  </si>
  <si>
    <t>₩180,707,206</t>
  </si>
  <si>
    <t>₩62,660,759,040</t>
  </si>
  <si>
    <t>001810</t>
  </si>
  <si>
    <t>무림SP</t>
  </si>
  <si>
    <t>₩477,543,361</t>
  </si>
  <si>
    <t>₩36,836,800,000</t>
  </si>
  <si>
    <t>439090</t>
  </si>
  <si>
    <t>마녀공장</t>
  </si>
  <si>
    <t>₩9,684,241,920</t>
  </si>
  <si>
    <t>₩319,212,287,400</t>
  </si>
  <si>
    <t>018290</t>
  </si>
  <si>
    <t>브이티</t>
  </si>
  <si>
    <t>₩21,760,792,110</t>
  </si>
  <si>
    <t>₩1,213,552,437,300</t>
  </si>
  <si>
    <t>092600</t>
  </si>
  <si>
    <t>앤씨앤</t>
  </si>
  <si>
    <t>₩45,791,632</t>
  </si>
  <si>
    <t>₩29,347,714,890</t>
  </si>
  <si>
    <t>040610</t>
  </si>
  <si>
    <t>SG&amp;G</t>
  </si>
  <si>
    <t>₩92,662,989</t>
  </si>
  <si>
    <t>₩55,153,083,128</t>
  </si>
  <si>
    <t>005745</t>
  </si>
  <si>
    <t>크라운해태홀딩스우</t>
  </si>
  <si>
    <t>₩2,617,031</t>
  </si>
  <si>
    <t>₩5,166,243,600</t>
  </si>
  <si>
    <t>183190</t>
  </si>
  <si>
    <t>아세아시멘트</t>
  </si>
  <si>
    <t>₩491,565,907</t>
  </si>
  <si>
    <t>₩420,825,613,980</t>
  </si>
  <si>
    <t>123420</t>
  </si>
  <si>
    <t>위메이드플레이</t>
  </si>
  <si>
    <t>₩429,364,947</t>
  </si>
  <si>
    <t>₩83,959,243,440</t>
  </si>
  <si>
    <t>260930</t>
  </si>
  <si>
    <t>씨티케이</t>
  </si>
  <si>
    <t>₩211,764,079</t>
  </si>
  <si>
    <t>₩108,312,909,600</t>
  </si>
  <si>
    <t>094280</t>
  </si>
  <si>
    <t>효성ITX</t>
  </si>
  <si>
    <t>₩569,663,428</t>
  </si>
  <si>
    <t>₩143,899,590,000</t>
  </si>
  <si>
    <t>322180</t>
  </si>
  <si>
    <t>티라유텍</t>
  </si>
  <si>
    <t>₩497,518,338</t>
  </si>
  <si>
    <t>₩94,821,786,500</t>
  </si>
  <si>
    <t>306200</t>
  </si>
  <si>
    <t>세아제강</t>
  </si>
  <si>
    <t>₩618,551,938</t>
  </si>
  <si>
    <t>₩338,086,960,000</t>
  </si>
  <si>
    <t>356890</t>
  </si>
  <si>
    <t>싸이버원</t>
  </si>
  <si>
    <t>₩47,987,395</t>
  </si>
  <si>
    <t>₩33,782,781,375</t>
  </si>
  <si>
    <t>472220</t>
  </si>
  <si>
    <t>신영스팩10호</t>
  </si>
  <si>
    <t>₩10,853,847</t>
  </si>
  <si>
    <t>₩10,036,600,000</t>
  </si>
  <si>
    <t>012160</t>
  </si>
  <si>
    <t>영흥</t>
  </si>
  <si>
    <t>₩28,437,692</t>
  </si>
  <si>
    <t>₩45,285,736,284</t>
  </si>
  <si>
    <t>003300</t>
  </si>
  <si>
    <t>한일홀딩스</t>
  </si>
  <si>
    <t>₩207,507,145</t>
  </si>
  <si>
    <t>₩435,360,322,080</t>
  </si>
  <si>
    <t>100030</t>
  </si>
  <si>
    <t>인지소프트</t>
  </si>
  <si>
    <t>₩151,229,916</t>
  </si>
  <si>
    <t>₩54,739,512,380</t>
  </si>
  <si>
    <t>124500</t>
  </si>
  <si>
    <t>아이티센</t>
  </si>
  <si>
    <t>₩1,239,611,101</t>
  </si>
  <si>
    <t>₩148,741,018,070</t>
  </si>
  <si>
    <t>097955</t>
  </si>
  <si>
    <t>CJ제일제당 우</t>
  </si>
  <si>
    <t>₩319,033,333</t>
  </si>
  <si>
    <t>₩171,637,086,900</t>
  </si>
  <si>
    <t>009200</t>
  </si>
  <si>
    <t>무림페이퍼</t>
  </si>
  <si>
    <t>₩2,025,431,660</t>
  </si>
  <si>
    <t>₩84,258,852,750</t>
  </si>
  <si>
    <t>036480</t>
  </si>
  <si>
    <t>대성미생물</t>
  </si>
  <si>
    <t>₩383,573,120</t>
  </si>
  <si>
    <t>₩37,202,000,000</t>
  </si>
  <si>
    <t>316140</t>
  </si>
  <si>
    <t>우리금융지주</t>
  </si>
  <si>
    <t>₩38,877,273,728</t>
  </si>
  <si>
    <t>₩11,955,723,166,100</t>
  </si>
  <si>
    <t>009970</t>
  </si>
  <si>
    <t>영원무역홀딩스</t>
  </si>
  <si>
    <t>₩652,277,790</t>
  </si>
  <si>
    <t>₩1,165,843,116,000</t>
  </si>
  <si>
    <t>263720</t>
  </si>
  <si>
    <t>디앤씨미디어</t>
  </si>
  <si>
    <t>₩429,392,880</t>
  </si>
  <si>
    <t>₩223,561,843,050</t>
  </si>
  <si>
    <t>138070</t>
  </si>
  <si>
    <t>신진에스엠</t>
  </si>
  <si>
    <t>₩420,983,939</t>
  </si>
  <si>
    <t>₩43,670,493,980</t>
  </si>
  <si>
    <t>155660</t>
  </si>
  <si>
    <t>DSR</t>
  </si>
  <si>
    <t>₩51,641,089</t>
  </si>
  <si>
    <t>₩61,840,000,000</t>
  </si>
  <si>
    <t>032850</t>
  </si>
  <si>
    <t>비트컴퓨터</t>
  </si>
  <si>
    <t>₩450,419,269</t>
  </si>
  <si>
    <t>₩79,958,039,330</t>
  </si>
  <si>
    <t>007860</t>
  </si>
  <si>
    <t>서연</t>
  </si>
  <si>
    <t>₩415,830,841</t>
  </si>
  <si>
    <t>₩166,706,892,400</t>
  </si>
  <si>
    <t>066575</t>
  </si>
  <si>
    <t>LG전자우</t>
  </si>
  <si>
    <t>₩1,309,492,707</t>
  </si>
  <si>
    <t>₩778,525,437,600</t>
  </si>
  <si>
    <t>024800</t>
  </si>
  <si>
    <t>유성티엔에스</t>
  </si>
  <si>
    <t>₩9,503,918</t>
  </si>
  <si>
    <t>₩72,917,966,016</t>
  </si>
  <si>
    <t>216050</t>
  </si>
  <si>
    <t>인크로스</t>
  </si>
  <si>
    <t>₩428,766,642</t>
  </si>
  <si>
    <t>₩95,938,868,340</t>
  </si>
  <si>
    <t>014570</t>
  </si>
  <si>
    <t>고려제약</t>
  </si>
  <si>
    <t>₩343,175,948</t>
  </si>
  <si>
    <t>₩53,845,000,000</t>
  </si>
  <si>
    <t>004000</t>
  </si>
  <si>
    <t>롯데정밀화학</t>
  </si>
  <si>
    <t>₩3,785,322,179</t>
  </si>
  <si>
    <t>₩1,028,130,000,000</t>
  </si>
  <si>
    <t>006910</t>
  </si>
  <si>
    <t>보성파워텍</t>
  </si>
  <si>
    <t>₩3,920,086,018</t>
  </si>
  <si>
    <t>₩152,056,805,280</t>
  </si>
  <si>
    <t>044960</t>
  </si>
  <si>
    <t>이글벳</t>
  </si>
  <si>
    <t>₩1,041,637,479</t>
  </si>
  <si>
    <t>₩63,462,252,660</t>
  </si>
  <si>
    <t>000950</t>
  </si>
  <si>
    <t>전방</t>
  </si>
  <si>
    <t>₩8,138,457</t>
  </si>
  <si>
    <t>₩32,306,400,000</t>
  </si>
  <si>
    <t>469880</t>
  </si>
  <si>
    <t>하나30호스팩</t>
  </si>
  <si>
    <t>₩29,038,649</t>
  </si>
  <si>
    <t>₩14,902,200,000</t>
  </si>
  <si>
    <t>455310</t>
  </si>
  <si>
    <t>한화플러스제4호스팩</t>
  </si>
  <si>
    <t>₩9,483,964</t>
  </si>
  <si>
    <t>₩10,474,200,000</t>
  </si>
  <si>
    <t>001440</t>
  </si>
  <si>
    <t>대한전선</t>
  </si>
  <si>
    <t>₩15,879,413,758</t>
  </si>
  <si>
    <t>₩2,274,657,060,000</t>
  </si>
  <si>
    <t>034810</t>
  </si>
  <si>
    <t>해성산업</t>
  </si>
  <si>
    <t>₩127,429,525</t>
  </si>
  <si>
    <t>₩208,363,884,800</t>
  </si>
  <si>
    <t>058110</t>
  </si>
  <si>
    <t>멕아이씨에스</t>
  </si>
  <si>
    <t>₩243,602,196</t>
  </si>
  <si>
    <t>₩40,126,325,000</t>
  </si>
  <si>
    <t>018880</t>
  </si>
  <si>
    <t>한온시스템</t>
  </si>
  <si>
    <t>₩6,201,661,076</t>
  </si>
  <si>
    <t>₩2,180,573,000,000</t>
  </si>
  <si>
    <t>471050</t>
  </si>
  <si>
    <t>대신밸런스제17호스팩</t>
  </si>
  <si>
    <t>₩25,972,088</t>
  </si>
  <si>
    <t>₩12,877,500,000</t>
  </si>
  <si>
    <t>003480</t>
  </si>
  <si>
    <t>한진중공업홀딩스</t>
  </si>
  <si>
    <t>₩45,860,509</t>
  </si>
  <si>
    <t>₩104,092,587,300</t>
  </si>
  <si>
    <t>396300</t>
  </si>
  <si>
    <t>세아메카닉스</t>
  </si>
  <si>
    <t>₩3,385,977,115</t>
  </si>
  <si>
    <t>₩76,819,550,000</t>
  </si>
  <si>
    <t>368600</t>
  </si>
  <si>
    <t>아이씨에이치</t>
  </si>
  <si>
    <t>₩255,198,055</t>
  </si>
  <si>
    <t>₩59,104,226,020</t>
  </si>
  <si>
    <t>007310</t>
  </si>
  <si>
    <t>오뚜기</t>
  </si>
  <si>
    <t>₩1,087,538,238</t>
  </si>
  <si>
    <t>₩1,583,092,850,000</t>
  </si>
  <si>
    <t>024910</t>
  </si>
  <si>
    <t>경창산업</t>
  </si>
  <si>
    <t>₩1,177,735,853</t>
  </si>
  <si>
    <t>₩75,578,100,550</t>
  </si>
  <si>
    <t>011370</t>
  </si>
  <si>
    <t>서한</t>
  </si>
  <si>
    <t>₩41,666,655</t>
  </si>
  <si>
    <t>₩79,101,574,160</t>
  </si>
  <si>
    <t>002220</t>
  </si>
  <si>
    <t>한일철강</t>
  </si>
  <si>
    <t>₩17,990,968</t>
  </si>
  <si>
    <t>₩55,664,204,100</t>
  </si>
  <si>
    <t>462520</t>
  </si>
  <si>
    <t>조선내화</t>
  </si>
  <si>
    <t>₩1,502,916,990</t>
  </si>
  <si>
    <t>₩193,002,135,040</t>
  </si>
  <si>
    <t>200350</t>
  </si>
  <si>
    <t>래몽래인</t>
  </si>
  <si>
    <t>₩20,572,287,614</t>
  </si>
  <si>
    <t>₩175,130,358,000</t>
  </si>
  <si>
    <t>068270</t>
  </si>
  <si>
    <t>셀트리온</t>
  </si>
  <si>
    <t>₩98,285,967,510</t>
  </si>
  <si>
    <t>₩37,783,389,179,000</t>
  </si>
  <si>
    <t>128820</t>
  </si>
  <si>
    <t>대성산업</t>
  </si>
  <si>
    <t>₩573,968,258</t>
  </si>
  <si>
    <t>₩151,538,851,300</t>
  </si>
  <si>
    <t>083550</t>
  </si>
  <si>
    <t>케이엠</t>
  </si>
  <si>
    <t>₩140,951,757</t>
  </si>
  <si>
    <t>₩38,607,585,120</t>
  </si>
  <si>
    <t>403490</t>
  </si>
  <si>
    <t>우듬지팜</t>
  </si>
  <si>
    <t>₩662,390,803</t>
  </si>
  <si>
    <t>₩84,818,582,464</t>
  </si>
  <si>
    <t>108670</t>
  </si>
  <si>
    <t>LX하우시스</t>
  </si>
  <si>
    <t>₩517,279,848</t>
  </si>
  <si>
    <t>₩350,635,897,000</t>
  </si>
  <si>
    <t>014285</t>
  </si>
  <si>
    <t>금강공업우</t>
  </si>
  <si>
    <t>₩8,505,259</t>
  </si>
  <si>
    <t>₩4,011,150,000</t>
  </si>
  <si>
    <t>122310</t>
  </si>
  <si>
    <t>제노레이</t>
  </si>
  <si>
    <t>₩304,767,476</t>
  </si>
  <si>
    <t>₩86,158,756,480</t>
  </si>
  <si>
    <t>047050</t>
  </si>
  <si>
    <t>포스코인터내셔널</t>
  </si>
  <si>
    <t>₩21,281,555,495</t>
  </si>
  <si>
    <t>₩8,919,285,351,600</t>
  </si>
  <si>
    <t>001120</t>
  </si>
  <si>
    <t>LX인터내셔널</t>
  </si>
  <si>
    <t>₩3,562,613,864</t>
  </si>
  <si>
    <t>₩1,104,660,000,000</t>
  </si>
  <si>
    <t>025530</t>
  </si>
  <si>
    <t>SJM홀딩스</t>
  </si>
  <si>
    <t>₩34,248,704</t>
  </si>
  <si>
    <t>₩52,941,058,360</t>
  </si>
  <si>
    <t>012320</t>
  </si>
  <si>
    <t>경동인베스트</t>
  </si>
  <si>
    <t>₩838,563,905</t>
  </si>
  <si>
    <t>₩170,991,162,900</t>
  </si>
  <si>
    <t>448760</t>
  </si>
  <si>
    <t>IBKS제22호스팩</t>
  </si>
  <si>
    <t>₩23,044,398</t>
  </si>
  <si>
    <t>₩9,768,150,000</t>
  </si>
  <si>
    <t>293580</t>
  </si>
  <si>
    <t>나우IB</t>
  </si>
  <si>
    <t>₩93,126,292</t>
  </si>
  <si>
    <t>₩90,942,892,100</t>
  </si>
  <si>
    <t>000020</t>
  </si>
  <si>
    <t>동화약품</t>
  </si>
  <si>
    <t>₩422,755,411</t>
  </si>
  <si>
    <t>₩200,827,269,300</t>
  </si>
  <si>
    <t>005670</t>
  </si>
  <si>
    <t>푸드웰</t>
  </si>
  <si>
    <t>₩44,788,429</t>
  </si>
  <si>
    <t>₩49,200,000,000</t>
  </si>
  <si>
    <t>001525</t>
  </si>
  <si>
    <t>동양우</t>
  </si>
  <si>
    <t>₩4,195,495</t>
  </si>
  <si>
    <t>₩2,718,016,400</t>
  </si>
  <si>
    <t>267260</t>
  </si>
  <si>
    <t>HD현대일렉트릭</t>
  </si>
  <si>
    <t>₩101,194,456,214</t>
  </si>
  <si>
    <t>₩14,058,382,650,000</t>
  </si>
  <si>
    <t>001060</t>
  </si>
  <si>
    <t>JW중외제약</t>
  </si>
  <si>
    <t>₩2,851,144,905</t>
  </si>
  <si>
    <t>₩606,598,476,500</t>
  </si>
  <si>
    <t>032790</t>
  </si>
  <si>
    <t>엠젠솔루션</t>
  </si>
  <si>
    <t>₩148,188,472</t>
  </si>
  <si>
    <t>₩55,852,475,760</t>
  </si>
  <si>
    <t>062970</t>
  </si>
  <si>
    <t>한국첨단소재</t>
  </si>
  <si>
    <t>₩652,018,273</t>
  </si>
  <si>
    <t>₩16,835,505,754</t>
  </si>
  <si>
    <t>068290</t>
  </si>
  <si>
    <t>삼성출판사</t>
  </si>
  <si>
    <t>₩2,480,463,704</t>
  </si>
  <si>
    <t>₩136,900,000,000</t>
  </si>
  <si>
    <t>037030</t>
  </si>
  <si>
    <t>파워넷</t>
  </si>
  <si>
    <t>₩84,541,027</t>
  </si>
  <si>
    <t>₩53,056,511,950</t>
  </si>
  <si>
    <t>005180</t>
  </si>
  <si>
    <t>빙그레</t>
  </si>
  <si>
    <t>₩2,095,350,700</t>
  </si>
  <si>
    <t>₩621,613,307,100</t>
  </si>
  <si>
    <t>000890</t>
  </si>
  <si>
    <t>보해양조</t>
  </si>
  <si>
    <t>₩131,457,369</t>
  </si>
  <si>
    <t>₩57,873,973,664</t>
  </si>
  <si>
    <t>307280</t>
  </si>
  <si>
    <t>원바이오젠</t>
  </si>
  <si>
    <t>₩110,796,317</t>
  </si>
  <si>
    <t>₩48,268,470,978</t>
  </si>
  <si>
    <t>332370</t>
  </si>
  <si>
    <t>아이디피</t>
  </si>
  <si>
    <t>₩56,296,162</t>
  </si>
  <si>
    <t>₩49,643,735,240</t>
  </si>
  <si>
    <t>003465</t>
  </si>
  <si>
    <t>유화증권우</t>
  </si>
  <si>
    <t>₩1,388,569</t>
  </si>
  <si>
    <t>₩38,273,370,750</t>
  </si>
  <si>
    <t>467930</t>
  </si>
  <si>
    <t>IBKS제23호스팩</t>
  </si>
  <si>
    <t>₩8,509,843</t>
  </si>
  <si>
    <t>₩9,136,800,000</t>
  </si>
  <si>
    <t>084690</t>
  </si>
  <si>
    <t>대상홀딩스</t>
  </si>
  <si>
    <t>₩1,169,229,140</t>
  </si>
  <si>
    <t>₩301,288,316,160</t>
  </si>
  <si>
    <t>004700</t>
  </si>
  <si>
    <t>조광피혁</t>
  </si>
  <si>
    <t>₩32,705,724</t>
  </si>
  <si>
    <t>₩341,765,693,200</t>
  </si>
  <si>
    <t>046440</t>
  </si>
  <si>
    <t>KG모빌리언스</t>
  </si>
  <si>
    <t>₩122,434,535</t>
  </si>
  <si>
    <t>₩169,473,604,320</t>
  </si>
  <si>
    <t>052690</t>
  </si>
  <si>
    <t>한전기술</t>
  </si>
  <si>
    <t>₩14,430,935,595</t>
  </si>
  <si>
    <t>₩2,663,934,000,000</t>
  </si>
  <si>
    <t>099190</t>
  </si>
  <si>
    <t>아이센스</t>
  </si>
  <si>
    <t>₩3,864,359,371</t>
  </si>
  <si>
    <t>₩525,108,187,000</t>
  </si>
  <si>
    <t>050090</t>
  </si>
  <si>
    <t>비케이홀딩스</t>
  </si>
  <si>
    <t>₩19,659,134</t>
  </si>
  <si>
    <t>₩15,491,447,505</t>
  </si>
  <si>
    <t>223250</t>
  </si>
  <si>
    <t>드림씨아이에스</t>
  </si>
  <si>
    <t>₩9,444,314,808</t>
  </si>
  <si>
    <t>₩80,322,718,500</t>
  </si>
  <si>
    <t>080470</t>
  </si>
  <si>
    <t>성창오토텍</t>
  </si>
  <si>
    <t>₩36,688,276</t>
  </si>
  <si>
    <t>₩32,558,000,000</t>
  </si>
  <si>
    <t>078520</t>
  </si>
  <si>
    <t>에이블씨엔씨</t>
  </si>
  <si>
    <t>₩465,348,264</t>
  </si>
  <si>
    <t>₩182,359,268,610</t>
  </si>
  <si>
    <t>107590</t>
  </si>
  <si>
    <t>미원홀딩스</t>
  </si>
  <si>
    <t>₩16,681,529</t>
  </si>
  <si>
    <t>₩183,512,000,000</t>
  </si>
  <si>
    <t>052400</t>
  </si>
  <si>
    <t>코나아이</t>
  </si>
  <si>
    <t>₩289,417,995</t>
  </si>
  <si>
    <t>₩228,267,984,680</t>
  </si>
  <si>
    <t>003380</t>
  </si>
  <si>
    <t>하림지주</t>
  </si>
  <si>
    <t>₩825,390,552</t>
  </si>
  <si>
    <t>₩610,430,634,450</t>
  </si>
  <si>
    <t>130500</t>
  </si>
  <si>
    <t>GH신소재</t>
  </si>
  <si>
    <t>₩204,494,520</t>
  </si>
  <si>
    <t>₩44,798,760,160</t>
  </si>
  <si>
    <t>130740</t>
  </si>
  <si>
    <t>티피씨글로벌</t>
  </si>
  <si>
    <t>₩49,021,851</t>
  </si>
  <si>
    <t>₩22,553,358,000</t>
  </si>
  <si>
    <t>049480</t>
  </si>
  <si>
    <t>오픈베이스</t>
  </si>
  <si>
    <t>₩354,690,235</t>
  </si>
  <si>
    <t>₩71,800,145,155</t>
  </si>
  <si>
    <t>004990</t>
  </si>
  <si>
    <t>롯데지주</t>
  </si>
  <si>
    <t>₩2,370,261,762</t>
  </si>
  <si>
    <t>₩2,397,176,065,450</t>
  </si>
  <si>
    <t>192400</t>
  </si>
  <si>
    <t>쿠쿠홀딩스</t>
  </si>
  <si>
    <t>₩268,659,443</t>
  </si>
  <si>
    <t>₩821,486,473,500</t>
  </si>
  <si>
    <t>137310</t>
  </si>
  <si>
    <t>에스디바이오센서</t>
  </si>
  <si>
    <t>₩1,279,362,002</t>
  </si>
  <si>
    <t>₩1,056,812,726,970</t>
  </si>
  <si>
    <t>291650</t>
  </si>
  <si>
    <t>압타머사이언스</t>
  </si>
  <si>
    <t>₩1,867,023,410</t>
  </si>
  <si>
    <t>₩32,585,103,588</t>
  </si>
  <si>
    <t>029480</t>
  </si>
  <si>
    <t>광무</t>
  </si>
  <si>
    <t>₩1,988,742,504</t>
  </si>
  <si>
    <t>₩180,429,792,240</t>
  </si>
  <si>
    <t>069510</t>
  </si>
  <si>
    <t>에스텍</t>
  </si>
  <si>
    <t>₩66,079,756</t>
  </si>
  <si>
    <t>₩122,846,600,000</t>
  </si>
  <si>
    <t>008420</t>
  </si>
  <si>
    <t>문배철강</t>
  </si>
  <si>
    <t>₩107,232,485</t>
  </si>
  <si>
    <t>₩46,440,438,825</t>
  </si>
  <si>
    <t>004980</t>
  </si>
  <si>
    <t>성신양회</t>
  </si>
  <si>
    <t>₩275,827,401</t>
  </si>
  <si>
    <t>₩197,844,709,110</t>
  </si>
  <si>
    <t>443250</t>
  </si>
  <si>
    <t>레뷰코퍼레이션</t>
  </si>
  <si>
    <t>₩8,951,719,197</t>
  </si>
  <si>
    <t>₩139,074,829,380</t>
  </si>
  <si>
    <t>353200</t>
  </si>
  <si>
    <t>대덕전자</t>
  </si>
  <si>
    <t>₩7,802,752,811</t>
  </si>
  <si>
    <t>₩845,523,586,750</t>
  </si>
  <si>
    <t>005870</t>
  </si>
  <si>
    <t>휴니드</t>
  </si>
  <si>
    <t>₩10,880,062,658</t>
  </si>
  <si>
    <t>₩116,174,803,450</t>
  </si>
  <si>
    <t>010820</t>
  </si>
  <si>
    <t>퍼스텍</t>
  </si>
  <si>
    <t>₩20,664,383,297</t>
  </si>
  <si>
    <t>₩166,068,448,890</t>
  </si>
  <si>
    <t>140860</t>
  </si>
  <si>
    <t>파크시스템스</t>
  </si>
  <si>
    <t>₩7,405,439,457</t>
  </si>
  <si>
    <t>₩1,494,492,326,000</t>
  </si>
  <si>
    <t>089150</t>
  </si>
  <si>
    <t>케이씨티</t>
  </si>
  <si>
    <t>₩3,756,301,906</t>
  </si>
  <si>
    <t>₩39,959,500,000</t>
  </si>
  <si>
    <t>000850</t>
  </si>
  <si>
    <t>화천기공</t>
  </si>
  <si>
    <t>₩176,087,250</t>
  </si>
  <si>
    <t>₩59,840,000,000</t>
  </si>
  <si>
    <t>214610</t>
  </si>
  <si>
    <t>미코바이오메드</t>
  </si>
  <si>
    <t>₩7,646,312,214</t>
  </si>
  <si>
    <t>₩78,336,963,110</t>
  </si>
  <si>
    <t>241820</t>
  </si>
  <si>
    <t>피씨엘</t>
  </si>
  <si>
    <t>₩901,325,114</t>
  </si>
  <si>
    <t>₩44,378,975,250</t>
  </si>
  <si>
    <t>033920</t>
  </si>
  <si>
    <t>무학</t>
  </si>
  <si>
    <t>₩572,884,340</t>
  </si>
  <si>
    <t>₩172,140,000,000</t>
  </si>
  <si>
    <t>166480</t>
  </si>
  <si>
    <t>코아스템켐온</t>
  </si>
  <si>
    <t>₩3,666,142,791</t>
  </si>
  <si>
    <t>₩480,564,897,120</t>
  </si>
  <si>
    <t>950220</t>
  </si>
  <si>
    <t>네오이뮨텍</t>
  </si>
  <si>
    <t>₩1,185,341,534</t>
  </si>
  <si>
    <t>₩131,394,860,985</t>
  </si>
  <si>
    <t>214150</t>
  </si>
  <si>
    <t>클래시스</t>
  </si>
  <si>
    <t>₩18,054,116,502</t>
  </si>
  <si>
    <t>₩3,095,142,387,750</t>
  </si>
  <si>
    <t>307930</t>
  </si>
  <si>
    <t>컴퍼니케이</t>
  </si>
  <si>
    <t>₩5,871,198,555</t>
  </si>
  <si>
    <t>₩81,328,100,000</t>
  </si>
  <si>
    <t>002360</t>
  </si>
  <si>
    <t>SH에너지화학</t>
  </si>
  <si>
    <t>₩791,442,237</t>
  </si>
  <si>
    <t>₩61,123,551,500</t>
  </si>
  <si>
    <t>005725</t>
  </si>
  <si>
    <t>넥센우</t>
  </si>
  <si>
    <t>₩7,296,233</t>
  </si>
  <si>
    <t>₩11,215,869,000</t>
  </si>
  <si>
    <t>446540</t>
  </si>
  <si>
    <t>메가터치</t>
  </si>
  <si>
    <t>₩3,271,049,759</t>
  </si>
  <si>
    <t>₩78,929,800,000</t>
  </si>
  <si>
    <t>123700</t>
  </si>
  <si>
    <t>SJM</t>
  </si>
  <si>
    <t>₩76,041,583</t>
  </si>
  <si>
    <t>₩50,715,918,500</t>
  </si>
  <si>
    <t>031440</t>
  </si>
  <si>
    <t>신세계푸드</t>
  </si>
  <si>
    <t>₩89,488,814</t>
  </si>
  <si>
    <t>₩132,438,816,000</t>
  </si>
  <si>
    <t>037950</t>
  </si>
  <si>
    <t>엘컴텍</t>
  </si>
  <si>
    <t>₩1,031,753,962</t>
  </si>
  <si>
    <t>₩95,932,381,584</t>
  </si>
  <si>
    <t>006060</t>
  </si>
  <si>
    <t>화승인더</t>
  </si>
  <si>
    <t>₩592,096,357</t>
  </si>
  <si>
    <t>₩235,663,200,000</t>
  </si>
  <si>
    <t>450050</t>
  </si>
  <si>
    <t>하이제8호스팩</t>
  </si>
  <si>
    <t>₩10,821,158</t>
  </si>
  <si>
    <t>₩10,429,120,000</t>
  </si>
  <si>
    <t>004650</t>
  </si>
  <si>
    <t>창해에탄올</t>
  </si>
  <si>
    <t>₩62,714,330</t>
  </si>
  <si>
    <t>₩85,567,139,350</t>
  </si>
  <si>
    <t>027040</t>
  </si>
  <si>
    <t>서울전자통신</t>
  </si>
  <si>
    <t>₩27,185,271</t>
  </si>
  <si>
    <t>₩18,510,633,302</t>
  </si>
  <si>
    <t>323410</t>
  </si>
  <si>
    <t>카카오뱅크</t>
  </si>
  <si>
    <t>₩10,939,646,055</t>
  </si>
  <si>
    <t>₩10,040,189,808,850</t>
  </si>
  <si>
    <t>437730</t>
  </si>
  <si>
    <t>삼현</t>
  </si>
  <si>
    <t>₩16,548,256,544</t>
  </si>
  <si>
    <t>₩94,171,473,990</t>
  </si>
  <si>
    <t>338220</t>
  </si>
  <si>
    <t>뷰노</t>
  </si>
  <si>
    <t>₩4,699,226,252</t>
  </si>
  <si>
    <t>₩366,648,928,800</t>
  </si>
  <si>
    <t>000500</t>
  </si>
  <si>
    <t>가온전선</t>
  </si>
  <si>
    <t>₩3,858,811,200</t>
  </si>
  <si>
    <t>₩399,757,268,450</t>
  </si>
  <si>
    <t>091340</t>
  </si>
  <si>
    <t>S&amp;K폴리텍</t>
  </si>
  <si>
    <t>₩78,084,983</t>
  </si>
  <si>
    <t>₩31,658,565,305</t>
  </si>
  <si>
    <t>229640</t>
  </si>
  <si>
    <t>LS에코에너지</t>
  </si>
  <si>
    <t>₩6,953,585,357</t>
  </si>
  <si>
    <t>₩863,621,587,800</t>
  </si>
  <si>
    <t>204610</t>
  </si>
  <si>
    <t>티쓰리</t>
  </si>
  <si>
    <t>₩513,210,136</t>
  </si>
  <si>
    <t>₩84,760,200,720</t>
  </si>
  <si>
    <t>079960</t>
  </si>
  <si>
    <t>동양이엔피</t>
  </si>
  <si>
    <t>₩291,144,715</t>
  </si>
  <si>
    <t>₩147,296,400,000</t>
  </si>
  <si>
    <t>064800</t>
  </si>
  <si>
    <t>포니링크</t>
  </si>
  <si>
    <t>₩2,240,315,259</t>
  </si>
  <si>
    <t>₩162,187,461,162</t>
  </si>
  <si>
    <t>416180</t>
  </si>
  <si>
    <t>신성에스티</t>
  </si>
  <si>
    <t>₩1,248,024,555</t>
  </si>
  <si>
    <t>₩241,362,072,600</t>
  </si>
  <si>
    <t>216080</t>
  </si>
  <si>
    <t>제테마</t>
  </si>
  <si>
    <t>₩2,069,161,290</t>
  </si>
  <si>
    <t>₩343,959,698,340</t>
  </si>
  <si>
    <t>053080</t>
  </si>
  <si>
    <t>케이엔솔</t>
  </si>
  <si>
    <t>₩2,405,749,702</t>
  </si>
  <si>
    <t>₩190,057,178,340</t>
  </si>
  <si>
    <t>065680</t>
  </si>
  <si>
    <t>우주일렉트로</t>
  </si>
  <si>
    <t>₩190,736,441</t>
  </si>
  <si>
    <t>₩136,755,500,000</t>
  </si>
  <si>
    <t>094940</t>
  </si>
  <si>
    <t>푸른기술</t>
  </si>
  <si>
    <t>₩313,897,217</t>
  </si>
  <si>
    <t>₩55,603,216,900</t>
  </si>
  <si>
    <t>010470</t>
  </si>
  <si>
    <t>오리콤</t>
  </si>
  <si>
    <t>₩413,076,965</t>
  </si>
  <si>
    <t>₩86,220,360,000</t>
  </si>
  <si>
    <t>189690</t>
  </si>
  <si>
    <t>포시에스</t>
  </si>
  <si>
    <t>₩184,539,460</t>
  </si>
  <si>
    <t>₩59,015,453,040</t>
  </si>
  <si>
    <t>105560</t>
  </si>
  <si>
    <t>KB금융</t>
  </si>
  <si>
    <t>₩126,801,163,557</t>
  </si>
  <si>
    <t>₩36,480,084,812,100</t>
  </si>
  <si>
    <t>003470</t>
  </si>
  <si>
    <t>유안타증권</t>
  </si>
  <si>
    <t>₩275,086,491</t>
  </si>
  <si>
    <t>₩570,846,207,360</t>
  </si>
  <si>
    <t>043200</t>
  </si>
  <si>
    <t>파루</t>
  </si>
  <si>
    <t>₩178,922,837</t>
  </si>
  <si>
    <t>₩21,863,656,745</t>
  </si>
  <si>
    <t>008355</t>
  </si>
  <si>
    <t>남선알미우</t>
  </si>
  <si>
    <t>₩14,373,249</t>
  </si>
  <si>
    <t>₩5,234,130,000</t>
  </si>
  <si>
    <t>005820</t>
  </si>
  <si>
    <t>원림</t>
  </si>
  <si>
    <t>₩31,041,564</t>
  </si>
  <si>
    <t>₩34,768,286,100</t>
  </si>
  <si>
    <t>314140</t>
  </si>
  <si>
    <t>알피바이오</t>
  </si>
  <si>
    <t>₩594,317,092</t>
  </si>
  <si>
    <t>₩51,824,838,780</t>
  </si>
  <si>
    <t>321260</t>
  </si>
  <si>
    <t>프로이천</t>
  </si>
  <si>
    <t>₩232,188,819</t>
  </si>
  <si>
    <t>₩60,190,099,340</t>
  </si>
  <si>
    <t>008870</t>
  </si>
  <si>
    <t>금비</t>
  </si>
  <si>
    <t>₩87,087,167</t>
  </si>
  <si>
    <t>₩54,400,000,000</t>
  </si>
  <si>
    <t>060980</t>
  </si>
  <si>
    <t>HL홀딩스</t>
  </si>
  <si>
    <t>₩290,424,602</t>
  </si>
  <si>
    <t>₩356,946,291,000</t>
  </si>
  <si>
    <t>089980</t>
  </si>
  <si>
    <t>상아프론테크</t>
  </si>
  <si>
    <t>₩882,503,394</t>
  </si>
  <si>
    <t>₩322,179,095,550</t>
  </si>
  <si>
    <t>034730</t>
  </si>
  <si>
    <t>SK</t>
  </si>
  <si>
    <t>₩14,774,711,576</t>
  </si>
  <si>
    <t>₩10,599,895,178,600</t>
  </si>
  <si>
    <t>006390</t>
  </si>
  <si>
    <t>한일현대시멘트</t>
  </si>
  <si>
    <t>₩95,634,386</t>
  </si>
  <si>
    <t>₩271,553,791,600</t>
  </si>
  <si>
    <t>035890</t>
  </si>
  <si>
    <t>서희건설</t>
  </si>
  <si>
    <t>₩396,361,111</t>
  </si>
  <si>
    <t>₩320,812,605,972</t>
  </si>
  <si>
    <t>161890</t>
  </si>
  <si>
    <t>한국콜마</t>
  </si>
  <si>
    <t>₩20,006,281,033</t>
  </si>
  <si>
    <t>₩1,380,897,004,500</t>
  </si>
  <si>
    <t>046310</t>
  </si>
  <si>
    <t>백금T&amp;A</t>
  </si>
  <si>
    <t>₩77,911,273</t>
  </si>
  <si>
    <t>₩38,747,992,760</t>
  </si>
  <si>
    <t>008250</t>
  </si>
  <si>
    <t>이건산업</t>
  </si>
  <si>
    <t>₩54,393,054</t>
  </si>
  <si>
    <t>₩53,996,490,550</t>
  </si>
  <si>
    <t>217270</t>
  </si>
  <si>
    <t>넵튠</t>
  </si>
  <si>
    <t>₩325,995,216</t>
  </si>
  <si>
    <t>₩252,517,971,500</t>
  </si>
  <si>
    <t>078930</t>
  </si>
  <si>
    <t>GS</t>
  </si>
  <si>
    <t>₩5,864,280,174</t>
  </si>
  <si>
    <t>₩3,874,571,262,600</t>
  </si>
  <si>
    <t>227100</t>
  </si>
  <si>
    <t>퀀텀온</t>
  </si>
  <si>
    <t>₩2,497,708,708</t>
  </si>
  <si>
    <t>₩22,499,807,122</t>
  </si>
  <si>
    <t>360070</t>
  </si>
  <si>
    <t>탑머티리얼</t>
  </si>
  <si>
    <t>₩891,934,462</t>
  </si>
  <si>
    <t>₩266,936,356,150</t>
  </si>
  <si>
    <t>377450</t>
  </si>
  <si>
    <t>리파인</t>
  </si>
  <si>
    <t>₩1,232,865,294</t>
  </si>
  <si>
    <t>₩237,421,000,000</t>
  </si>
  <si>
    <t>057030</t>
  </si>
  <si>
    <t>YBM넷</t>
  </si>
  <si>
    <t>₩2,462,929,330</t>
  </si>
  <si>
    <t>₩60,112,288,445</t>
  </si>
  <si>
    <t>010960</t>
  </si>
  <si>
    <t>삼호개발</t>
  </si>
  <si>
    <t>₩51,047,647</t>
  </si>
  <si>
    <t>₩79,250,000,000</t>
  </si>
  <si>
    <t>350520</t>
  </si>
  <si>
    <t>이지스레지던스리츠</t>
  </si>
  <si>
    <t>₩175,299,055</t>
  </si>
  <si>
    <t>₩143,409,525,780</t>
  </si>
  <si>
    <t>175330</t>
  </si>
  <si>
    <t>JB금융지주</t>
  </si>
  <si>
    <t>₩10,386,068,954</t>
  </si>
  <si>
    <t>₩3,542,710,875,680</t>
  </si>
  <si>
    <t>039740</t>
  </si>
  <si>
    <t>한국정보공학</t>
  </si>
  <si>
    <t>₩19,131,587</t>
  </si>
  <si>
    <t>₩20,807,740,215</t>
  </si>
  <si>
    <t>069460</t>
  </si>
  <si>
    <t>대호에이엘</t>
  </si>
  <si>
    <t>₩318,275,696</t>
  </si>
  <si>
    <t>₩78,487,169,152</t>
  </si>
  <si>
    <t>208350</t>
  </si>
  <si>
    <t>지란지교시큐리티</t>
  </si>
  <si>
    <t>₩31,002,118</t>
  </si>
  <si>
    <t>₩27,001,767,195</t>
  </si>
  <si>
    <t>053580</t>
  </si>
  <si>
    <t>웹케시</t>
  </si>
  <si>
    <t>₩431,938,208</t>
  </si>
  <si>
    <t>₩95,590,098,480</t>
  </si>
  <si>
    <t>224110</t>
  </si>
  <si>
    <t>에이텍모빌리티</t>
  </si>
  <si>
    <t>₩319,864,766</t>
  </si>
  <si>
    <t>₩73,905,600,000</t>
  </si>
  <si>
    <t>000760</t>
  </si>
  <si>
    <t>이화산업</t>
  </si>
  <si>
    <t>₩19,595,008</t>
  </si>
  <si>
    <t>₩31,836,000,000</t>
  </si>
  <si>
    <t>038950</t>
  </si>
  <si>
    <t>파인디지털</t>
  </si>
  <si>
    <t>₩17,636,735</t>
  </si>
  <si>
    <t>₩36,605,592,525</t>
  </si>
  <si>
    <t>032620</t>
  </si>
  <si>
    <t>유비케어</t>
  </si>
  <si>
    <t>₩7,299,483,710</t>
  </si>
  <si>
    <t>₩200,176,028,065</t>
  </si>
  <si>
    <t>293480</t>
  </si>
  <si>
    <t>하나제약</t>
  </si>
  <si>
    <t>₩332,188,000</t>
  </si>
  <si>
    <t>₩198,168,347,900</t>
  </si>
  <si>
    <t>243070</t>
  </si>
  <si>
    <t>휴온스</t>
  </si>
  <si>
    <t>₩704,874,236</t>
  </si>
  <si>
    <t>₩322,252,988,500</t>
  </si>
  <si>
    <t>006730</t>
  </si>
  <si>
    <t>서부T&amp;D</t>
  </si>
  <si>
    <t>₩447,176,945</t>
  </si>
  <si>
    <t>₩395,240,191,850</t>
  </si>
  <si>
    <t>348080</t>
  </si>
  <si>
    <t>큐라티스</t>
  </si>
  <si>
    <t>₩362,046,317</t>
  </si>
  <si>
    <t>₩35,323,384,380</t>
  </si>
  <si>
    <t>290720</t>
  </si>
  <si>
    <t>푸드나무</t>
  </si>
  <si>
    <t>₩579,299,390</t>
  </si>
  <si>
    <t>₩44,297,106,690</t>
  </si>
  <si>
    <t>008930</t>
  </si>
  <si>
    <t>한미사이언스</t>
  </si>
  <si>
    <t>₩95,424,098,995</t>
  </si>
  <si>
    <t>₩2,516,809,040,000</t>
  </si>
  <si>
    <t>070590</t>
  </si>
  <si>
    <t>한솔인티큐브</t>
  </si>
  <si>
    <t>₩24,960,668</t>
  </si>
  <si>
    <t>₩16,266,798,612</t>
  </si>
  <si>
    <t>210540</t>
  </si>
  <si>
    <t>디와이파워</t>
  </si>
  <si>
    <t>₩200,674,612</t>
  </si>
  <si>
    <t>₩142,217,199,040</t>
  </si>
  <si>
    <t>446840</t>
  </si>
  <si>
    <t>키움제8호스팩</t>
  </si>
  <si>
    <t>₩61,115,214</t>
  </si>
  <si>
    <t>₩13,465,200,000</t>
  </si>
  <si>
    <t>299170</t>
  </si>
  <si>
    <t>더블유에스아이</t>
  </si>
  <si>
    <t>₩338,522,498</t>
  </si>
  <si>
    <t>₩42,219,315,978</t>
  </si>
  <si>
    <t>080580</t>
  </si>
  <si>
    <t>오킨스전자</t>
  </si>
  <si>
    <t>₩620,538,263</t>
  </si>
  <si>
    <t>₩93,877,072,380</t>
  </si>
  <si>
    <t>079430</t>
  </si>
  <si>
    <t>현대리바트</t>
  </si>
  <si>
    <t>₩630,224,209</t>
  </si>
  <si>
    <t>₩169,416,076,500</t>
  </si>
  <si>
    <t>059120</t>
  </si>
  <si>
    <t>아진엑스텍</t>
  </si>
  <si>
    <t>₩214,394,162</t>
  </si>
  <si>
    <t>₩71,847,152,520</t>
  </si>
  <si>
    <t>069730</t>
  </si>
  <si>
    <t>DSR제강</t>
  </si>
  <si>
    <t>₩130,197,016</t>
  </si>
  <si>
    <t>₩49,824,000,000</t>
  </si>
  <si>
    <t>003680</t>
  </si>
  <si>
    <t>한성기업</t>
  </si>
  <si>
    <t>₩197,989,168</t>
  </si>
  <si>
    <t>₩30,178,242,900</t>
  </si>
  <si>
    <t>005965</t>
  </si>
  <si>
    <t>동부건설우</t>
  </si>
  <si>
    <t>₩2,465,543</t>
  </si>
  <si>
    <t>₩4,796,805,000</t>
  </si>
  <si>
    <t>003000</t>
  </si>
  <si>
    <t>부광약품</t>
  </si>
  <si>
    <t>₩631,918,698</t>
  </si>
  <si>
    <t>₩320,710,133,635</t>
  </si>
  <si>
    <t>022220</t>
  </si>
  <si>
    <t>TKG애강</t>
  </si>
  <si>
    <t>₩636,623,635</t>
  </si>
  <si>
    <t>₩50,499,714,525</t>
  </si>
  <si>
    <t>099410</t>
  </si>
  <si>
    <t>동방선기</t>
  </si>
  <si>
    <t>₩467,300,643</t>
  </si>
  <si>
    <t>₩43,540,000,000</t>
  </si>
  <si>
    <t>042040</t>
  </si>
  <si>
    <t>케이피엠테크</t>
  </si>
  <si>
    <t>₩862,060,050</t>
  </si>
  <si>
    <t>₩55,129,649,772</t>
  </si>
  <si>
    <t>004960</t>
  </si>
  <si>
    <t>한신공영</t>
  </si>
  <si>
    <t>₩100,897,580</t>
  </si>
  <si>
    <t>₩77,176,582,340</t>
  </si>
  <si>
    <t>023590</t>
  </si>
  <si>
    <t>다우기술</t>
  </si>
  <si>
    <t>₩346,627,534</t>
  </si>
  <si>
    <t>₩819,264,426,420</t>
  </si>
  <si>
    <t>188260</t>
  </si>
  <si>
    <t>세니젠</t>
  </si>
  <si>
    <t>₩2,011,630,840</t>
  </si>
  <si>
    <t>₩19,589,153,700</t>
  </si>
  <si>
    <t>092460</t>
  </si>
  <si>
    <t>한라IMS</t>
  </si>
  <si>
    <t>₩631,145,338</t>
  </si>
  <si>
    <t>₩118,570,082,400</t>
  </si>
  <si>
    <t>115500</t>
  </si>
  <si>
    <t>케이씨에스</t>
  </si>
  <si>
    <t>₩13,340,341,146</t>
  </si>
  <si>
    <t>₩93,600,000,000</t>
  </si>
  <si>
    <t>006490</t>
  </si>
  <si>
    <t>인스코비</t>
  </si>
  <si>
    <t>₩6,317,592,735</t>
  </si>
  <si>
    <t>₩185,021,946,900</t>
  </si>
  <si>
    <t>457940</t>
  </si>
  <si>
    <t>에스케이증권제10호스팩</t>
  </si>
  <si>
    <t>₩12,516,655</t>
  </si>
  <si>
    <t>₩7,033,750,000</t>
  </si>
  <si>
    <t>448370</t>
  </si>
  <si>
    <t>하나27호스팩</t>
  </si>
  <si>
    <t>₩7,809,446</t>
  </si>
  <si>
    <t>₩11,914,400,000</t>
  </si>
  <si>
    <t>435870</t>
  </si>
  <si>
    <t>에스케이증권제8호스팩</t>
  </si>
  <si>
    <t>₩8,663,863</t>
  </si>
  <si>
    <t>₩7,830,600,000</t>
  </si>
  <si>
    <t>067310</t>
  </si>
  <si>
    <t>하나마이크론</t>
  </si>
  <si>
    <t>₩6,076,159,593</t>
  </si>
  <si>
    <t>₩670,597,939,200</t>
  </si>
  <si>
    <t>032640</t>
  </si>
  <si>
    <t>LG유플러스</t>
  </si>
  <si>
    <t>₩8,529,009,586</t>
  </si>
  <si>
    <t>₩4,414,140,859,710</t>
  </si>
  <si>
    <t>012205</t>
  </si>
  <si>
    <t>계양전기우</t>
  </si>
  <si>
    <t>₩31,317,783</t>
  </si>
  <si>
    <t>₩4,039,167,945</t>
  </si>
  <si>
    <t>017250</t>
  </si>
  <si>
    <t>인터엠</t>
  </si>
  <si>
    <t>₩13,660,933</t>
  </si>
  <si>
    <t>₩21,761,012,878</t>
  </si>
  <si>
    <t>007980</t>
  </si>
  <si>
    <t>TP</t>
  </si>
  <si>
    <t>₩145,626,262</t>
  </si>
  <si>
    <t>₩71,031,080,440</t>
  </si>
  <si>
    <t>039980</t>
  </si>
  <si>
    <t>폴라리스AI</t>
  </si>
  <si>
    <t>₩6,161,051,103</t>
  </si>
  <si>
    <t>₩173,874,871,820</t>
  </si>
  <si>
    <t>438580</t>
  </si>
  <si>
    <t>엔에이치스팩25호</t>
  </si>
  <si>
    <t>₩7,245,760</t>
  </si>
  <si>
    <t>₩6,613,800,000</t>
  </si>
  <si>
    <t>215480</t>
  </si>
  <si>
    <t>토박스코리아</t>
  </si>
  <si>
    <t>₩49,014,504</t>
  </si>
  <si>
    <t>₩24,017,000,000</t>
  </si>
  <si>
    <t>044180</t>
  </si>
  <si>
    <t>KD</t>
  </si>
  <si>
    <t>₩25,323,185</t>
  </si>
  <si>
    <t>₩12,717,672,324</t>
  </si>
  <si>
    <t>104700</t>
  </si>
  <si>
    <t>한국철강</t>
  </si>
  <si>
    <t>₩304,925,440</t>
  </si>
  <si>
    <t>₩395,209,500,000</t>
  </si>
  <si>
    <t>048550</t>
  </si>
  <si>
    <t>SM C&amp;C</t>
  </si>
  <si>
    <t>₩667,303,761</t>
  </si>
  <si>
    <t>₩159,675,837,620</t>
  </si>
  <si>
    <t>281820</t>
  </si>
  <si>
    <t>케이씨텍</t>
  </si>
  <si>
    <t>₩1,895,130,102</t>
  </si>
  <si>
    <t>₩668,612,869,800</t>
  </si>
  <si>
    <t>440320</t>
  </si>
  <si>
    <t>오픈놀</t>
  </si>
  <si>
    <t>₩351,869,544</t>
  </si>
  <si>
    <t>₩46,524,725,000</t>
  </si>
  <si>
    <t>454910</t>
  </si>
  <si>
    <t>두산로보틱스</t>
  </si>
  <si>
    <t>₩33,014,663,943</t>
  </si>
  <si>
    <t>₩4,323,492,666,000</t>
  </si>
  <si>
    <t>211050</t>
  </si>
  <si>
    <t>인카금융서비스</t>
  </si>
  <si>
    <t>₩467,910,222</t>
  </si>
  <si>
    <t>₩275,909,526,000</t>
  </si>
  <si>
    <t>003080</t>
  </si>
  <si>
    <t>성보화학</t>
  </si>
  <si>
    <t>₩42,039,517</t>
  </si>
  <si>
    <t>₩52,352,300,000</t>
  </si>
  <si>
    <t>011040</t>
  </si>
  <si>
    <t>경동제약</t>
  </si>
  <si>
    <t>₩453,352,198</t>
  </si>
  <si>
    <t>₩192,304,787,500</t>
  </si>
  <si>
    <t>002800</t>
  </si>
  <si>
    <t>신신제약</t>
  </si>
  <si>
    <t>₩1,029,195,343</t>
  </si>
  <si>
    <t>₩82,224,110,000</t>
  </si>
  <si>
    <t>004090</t>
  </si>
  <si>
    <t>한국석유</t>
  </si>
  <si>
    <t>₩4,855,429,511</t>
  </si>
  <si>
    <t>₩193,585,330,000</t>
  </si>
  <si>
    <t>200670</t>
  </si>
  <si>
    <t>휴메딕스</t>
  </si>
  <si>
    <t>₩4,237,322,679</t>
  </si>
  <si>
    <t>₩313,876,543,500</t>
  </si>
  <si>
    <t>065660</t>
  </si>
  <si>
    <t>안트로젠</t>
  </si>
  <si>
    <t>₩195,605,305</t>
  </si>
  <si>
    <t>₩146,749,104,840</t>
  </si>
  <si>
    <t>004450</t>
  </si>
  <si>
    <t>삼화왕관</t>
  </si>
  <si>
    <t>₩20,788,176</t>
  </si>
  <si>
    <t>₩65,493,121,600</t>
  </si>
  <si>
    <t>033270</t>
  </si>
  <si>
    <t>유나이티드제약</t>
  </si>
  <si>
    <t>₩645,041,247</t>
  </si>
  <si>
    <t>₩324,389,704,920</t>
  </si>
  <si>
    <t>019770</t>
  </si>
  <si>
    <t>서연탑메탈</t>
  </si>
  <si>
    <t>₩88,660,263</t>
  </si>
  <si>
    <t>₩45,202,000,000</t>
  </si>
  <si>
    <t>002600</t>
  </si>
  <si>
    <t>조흥</t>
  </si>
  <si>
    <t>₩10,912,914</t>
  </si>
  <si>
    <t>₩100,980,000,000</t>
  </si>
  <si>
    <t>389030</t>
  </si>
  <si>
    <t>지니너스</t>
  </si>
  <si>
    <t>₩140,224,519</t>
  </si>
  <si>
    <t>₩49,861,008,275</t>
  </si>
  <si>
    <t>150900</t>
  </si>
  <si>
    <t>파수</t>
  </si>
  <si>
    <t>₩129,868,848</t>
  </si>
  <si>
    <t>₩54,921,483,400</t>
  </si>
  <si>
    <t>250930</t>
  </si>
  <si>
    <t>예선테크</t>
  </si>
  <si>
    <t>₩288,222,739</t>
  </si>
  <si>
    <t>₩17,028,227,040</t>
  </si>
  <si>
    <t>950200</t>
  </si>
  <si>
    <t>소마젠</t>
  </si>
  <si>
    <t>₩87,639,417</t>
  </si>
  <si>
    <t>₩82,426,487,105</t>
  </si>
  <si>
    <t>047040</t>
  </si>
  <si>
    <t>대우건설</t>
  </si>
  <si>
    <t>₩3,050,376,193</t>
  </si>
  <si>
    <t>₩1,500,397,723,180</t>
  </si>
  <si>
    <t>019990</t>
  </si>
  <si>
    <t>에너토크</t>
  </si>
  <si>
    <t>₩2,090,869,099</t>
  </si>
  <si>
    <t>₩61,658,476,160</t>
  </si>
  <si>
    <t>002630</t>
  </si>
  <si>
    <t>오리엔트바이오</t>
  </si>
  <si>
    <t>₩37,181,368</t>
  </si>
  <si>
    <t>₩53,955,267,275</t>
  </si>
  <si>
    <t>096770</t>
  </si>
  <si>
    <t>SK이노베이션</t>
  </si>
  <si>
    <t>₩30,456,450,929</t>
  </si>
  <si>
    <t>₩10,387,311,515,000</t>
  </si>
  <si>
    <t>006890</t>
  </si>
  <si>
    <t>태경케미컬</t>
  </si>
  <si>
    <t>₩202,645,584</t>
  </si>
  <si>
    <t>₩126,788,000,000</t>
  </si>
  <si>
    <t>001540</t>
  </si>
  <si>
    <t>안국약품</t>
  </si>
  <si>
    <t>₩408,045,650</t>
  </si>
  <si>
    <t>₩91,296,940,000</t>
  </si>
  <si>
    <t>002240</t>
  </si>
  <si>
    <t>고려제강</t>
  </si>
  <si>
    <t>₩418,647,355</t>
  </si>
  <si>
    <t>₩484,750,000,000</t>
  </si>
  <si>
    <t>179900</t>
  </si>
  <si>
    <t>유티아이</t>
  </si>
  <si>
    <t>₩844,435,040</t>
  </si>
  <si>
    <t>₩346,096,518,750</t>
  </si>
  <si>
    <t>134060</t>
  </si>
  <si>
    <t>이퓨쳐</t>
  </si>
  <si>
    <t>₩15,267,306</t>
  </si>
  <si>
    <t>₩19,768,541,250</t>
  </si>
  <si>
    <t>004780</t>
  </si>
  <si>
    <t>대륙제관</t>
  </si>
  <si>
    <t>₩54,043,233</t>
  </si>
  <si>
    <t>₩64,407,955,950</t>
  </si>
  <si>
    <t>014820</t>
  </si>
  <si>
    <t>동원시스템즈</t>
  </si>
  <si>
    <t>₩3,323,412,105</t>
  </si>
  <si>
    <t>₩1,378,535,459,100</t>
  </si>
  <si>
    <t>071840</t>
  </si>
  <si>
    <t>롯데하이마트</t>
  </si>
  <si>
    <t>₩117,717,940</t>
  </si>
  <si>
    <t>₩183,431,922,240</t>
  </si>
  <si>
    <t>267980</t>
  </si>
  <si>
    <t>매일유업</t>
  </si>
  <si>
    <t>₩278,928,814</t>
  </si>
  <si>
    <t>₩289,822,424,100</t>
  </si>
  <si>
    <t>347770</t>
  </si>
  <si>
    <t>핌스</t>
  </si>
  <si>
    <t>₩373,272,258</t>
  </si>
  <si>
    <t>₩49,256,925,510</t>
  </si>
  <si>
    <t>067010</t>
  </si>
  <si>
    <t>이씨에스</t>
  </si>
  <si>
    <t>₩109,638,901</t>
  </si>
  <si>
    <t>₩36,636,120,000</t>
  </si>
  <si>
    <t>053260</t>
  </si>
  <si>
    <t>금강철강</t>
  </si>
  <si>
    <t>₩39,491,068</t>
  </si>
  <si>
    <t>₩81,900,000,000</t>
  </si>
  <si>
    <t>111110</t>
  </si>
  <si>
    <t>호전실업</t>
  </si>
  <si>
    <t>₩2,799,101,239</t>
  </si>
  <si>
    <t>₩78,974,870,400</t>
  </si>
  <si>
    <t>000400</t>
  </si>
  <si>
    <t>롯데손해보험</t>
  </si>
  <si>
    <t>₩423,374,025</t>
  </si>
  <si>
    <t>₩685,843,267,200</t>
  </si>
  <si>
    <t>121600</t>
  </si>
  <si>
    <t>나노신소재</t>
  </si>
  <si>
    <t>₩6,808,535,338</t>
  </si>
  <si>
    <t>₩925,682,320,200</t>
  </si>
  <si>
    <t>010640</t>
  </si>
  <si>
    <t>진양폴리</t>
  </si>
  <si>
    <t>₩281,048,298</t>
  </si>
  <si>
    <t>₩68,900,000,000</t>
  </si>
  <si>
    <t>092870</t>
  </si>
  <si>
    <t>엑시콘</t>
  </si>
  <si>
    <t>₩7,100,554,833</t>
  </si>
  <si>
    <t>₩148,779,085,800</t>
  </si>
  <si>
    <t>175140</t>
  </si>
  <si>
    <t>휴먼테크놀로지</t>
  </si>
  <si>
    <t>₩706,007,120</t>
  </si>
  <si>
    <t>₩101,121,872,400</t>
  </si>
  <si>
    <t>365270</t>
  </si>
  <si>
    <t>큐라클</t>
  </si>
  <si>
    <t>₩1,259,837,187</t>
  </si>
  <si>
    <t>₩86,018,601,600</t>
  </si>
  <si>
    <t>153460</t>
  </si>
  <si>
    <t>네이블</t>
  </si>
  <si>
    <t>₩11,188,686</t>
  </si>
  <si>
    <t>₩40,420,786,660</t>
  </si>
  <si>
    <t>005810</t>
  </si>
  <si>
    <t>풍산홀딩스</t>
  </si>
  <si>
    <t>₩992,879,417</t>
  </si>
  <si>
    <t>₩388,546,019,400</t>
  </si>
  <si>
    <t>119830</t>
  </si>
  <si>
    <t>아이텍</t>
  </si>
  <si>
    <t>₩359,473,741</t>
  </si>
  <si>
    <t>₩111,458,344,400</t>
  </si>
  <si>
    <t>477380</t>
  </si>
  <si>
    <t>미래에셋비전스팩4호</t>
  </si>
  <si>
    <t>₩31,386,919</t>
  </si>
  <si>
    <t>₩16,362,000,000</t>
  </si>
  <si>
    <t>041830</t>
  </si>
  <si>
    <t>인바디</t>
  </si>
  <si>
    <t>₩389,732,274</t>
  </si>
  <si>
    <t>₩322,937,255,200</t>
  </si>
  <si>
    <t>014680</t>
  </si>
  <si>
    <t>한솔케미칼</t>
  </si>
  <si>
    <t>₩5,852,308,990</t>
  </si>
  <si>
    <t>₩1,302,413,905,500</t>
  </si>
  <si>
    <t>094840</t>
  </si>
  <si>
    <t>슈프리마에이치큐</t>
  </si>
  <si>
    <t>₩67,540,720</t>
  </si>
  <si>
    <t>₩59,270,614,400</t>
  </si>
  <si>
    <t>000087</t>
  </si>
  <si>
    <t>하이트진로2우B</t>
  </si>
  <si>
    <t>₩21,706,742</t>
  </si>
  <si>
    <t>₩18,342,139,740</t>
  </si>
  <si>
    <t>019210</t>
  </si>
  <si>
    <t>와이지-원</t>
  </si>
  <si>
    <t>₩180,596,399</t>
  </si>
  <si>
    <t>₩170,555,000,520</t>
  </si>
  <si>
    <t>054940</t>
  </si>
  <si>
    <t>엑사이엔씨</t>
  </si>
  <si>
    <t>₩54,674,259</t>
  </si>
  <si>
    <t>₩25,410,937,768</t>
  </si>
  <si>
    <t>007700</t>
  </si>
  <si>
    <t>F&amp;F홀딩스</t>
  </si>
  <si>
    <t>₩75,910,987</t>
  </si>
  <si>
    <t>₩523,350,230,460</t>
  </si>
  <si>
    <t>162300</t>
  </si>
  <si>
    <t>신스틸</t>
  </si>
  <si>
    <t>₩2,540,466,786</t>
  </si>
  <si>
    <t>₩105,959,381,010</t>
  </si>
  <si>
    <t>025950</t>
  </si>
  <si>
    <t>동신건설</t>
  </si>
  <si>
    <t>₩1,929,003,643</t>
  </si>
  <si>
    <t>₩194,460,000,000</t>
  </si>
  <si>
    <t>078140</t>
  </si>
  <si>
    <t>대봉엘에스</t>
  </si>
  <si>
    <t>₩16,644,765,426</t>
  </si>
  <si>
    <t>₩182,263,358,760</t>
  </si>
  <si>
    <t>044450</t>
  </si>
  <si>
    <t>KSS해운</t>
  </si>
  <si>
    <t>₩587,425,692</t>
  </si>
  <si>
    <t>₩213,775,248,800</t>
  </si>
  <si>
    <t>191420</t>
  </si>
  <si>
    <t>테고사이언스</t>
  </si>
  <si>
    <t>₩191,058,731</t>
  </si>
  <si>
    <t>₩135,012,086,100</t>
  </si>
  <si>
    <t>136490</t>
  </si>
  <si>
    <t>선진</t>
  </si>
  <si>
    <t>₩188,778,500</t>
  </si>
  <si>
    <t>₩151,238,281,440</t>
  </si>
  <si>
    <t>226320</t>
  </si>
  <si>
    <t>잇츠한불</t>
  </si>
  <si>
    <t>₩194,791,187</t>
  </si>
  <si>
    <t>₩254,160,760,850</t>
  </si>
  <si>
    <t>001450</t>
  </si>
  <si>
    <t>현대해상</t>
  </si>
  <si>
    <t>₩9,961,542,860</t>
  </si>
  <si>
    <t>₩2,659,650,000,000</t>
  </si>
  <si>
    <t>003670</t>
  </si>
  <si>
    <t>포스코퓨처엠</t>
  </si>
  <si>
    <t>₩73,056,429,333</t>
  </si>
  <si>
    <t>₩15,957,423,320,000</t>
  </si>
  <si>
    <t>003100</t>
  </si>
  <si>
    <t>선광</t>
  </si>
  <si>
    <t>₩77,538,581</t>
  </si>
  <si>
    <t>₩102,036,000,000</t>
  </si>
  <si>
    <t>025550</t>
  </si>
  <si>
    <t>한국선재</t>
  </si>
  <si>
    <t>₩131,451,150</t>
  </si>
  <si>
    <t>₩67,686,500,000</t>
  </si>
  <si>
    <t>229000</t>
  </si>
  <si>
    <t>젠큐릭스</t>
  </si>
  <si>
    <t>₩184,461,229</t>
  </si>
  <si>
    <t>₩33,841,691,100</t>
  </si>
  <si>
    <t>240600</t>
  </si>
  <si>
    <t>유진테크놀로지</t>
  </si>
  <si>
    <t>₩273,835,563</t>
  </si>
  <si>
    <t>₩40,668,246,370</t>
  </si>
  <si>
    <t>009160</t>
  </si>
  <si>
    <t>SIMPAC</t>
  </si>
  <si>
    <t>₩221,268,012</t>
  </si>
  <si>
    <t>₩247,323,570,480</t>
  </si>
  <si>
    <t>230360</t>
  </si>
  <si>
    <t>에코마케팅</t>
  </si>
  <si>
    <t>₩482,141,938</t>
  </si>
  <si>
    <t>₩313,106,888,550</t>
  </si>
  <si>
    <t>015890</t>
  </si>
  <si>
    <t>태경산업</t>
  </si>
  <si>
    <t>₩107,341,343</t>
  </si>
  <si>
    <t>₩153,158,650,000</t>
  </si>
  <si>
    <t>095270</t>
  </si>
  <si>
    <t>웨이브일렉트로</t>
  </si>
  <si>
    <t>₩90,309,465</t>
  </si>
  <si>
    <t>₩62,879,275,200</t>
  </si>
  <si>
    <t>035080</t>
  </si>
  <si>
    <t>그래디언트</t>
  </si>
  <si>
    <t>₩3,821,303,164</t>
  </si>
  <si>
    <t>₩201,207,038,400</t>
  </si>
  <si>
    <t>007120</t>
  </si>
  <si>
    <t>미래아이앤지</t>
  </si>
  <si>
    <t>₩122,661,057</t>
  </si>
  <si>
    <t>₩30,438,052,832</t>
  </si>
  <si>
    <t>314130</t>
  </si>
  <si>
    <t>지놈앤컴퍼니</t>
  </si>
  <si>
    <t>₩4,543,276,960</t>
  </si>
  <si>
    <t>₩105,455,754,465</t>
  </si>
  <si>
    <t>007540</t>
  </si>
  <si>
    <t>샘표</t>
  </si>
  <si>
    <t>₩117,375,871</t>
  </si>
  <si>
    <t>₩125,241,090,000</t>
  </si>
  <si>
    <t>220180</t>
  </si>
  <si>
    <t>핸디소프트</t>
  </si>
  <si>
    <t>₩58,600,606</t>
  </si>
  <si>
    <t>₩62,105,600,000</t>
  </si>
  <si>
    <t>033250</t>
  </si>
  <si>
    <t>체시스</t>
  </si>
  <si>
    <t>₩282,020,336</t>
  </si>
  <si>
    <t>₩43,648,000,000</t>
  </si>
  <si>
    <t>001067</t>
  </si>
  <si>
    <t>JW중외제약2우B</t>
  </si>
  <si>
    <t>₩6,460,786</t>
  </si>
  <si>
    <t>₩13,039,323,300</t>
  </si>
  <si>
    <t>136410</t>
  </si>
  <si>
    <t>아셈스</t>
  </si>
  <si>
    <t>₩211,158,246</t>
  </si>
  <si>
    <t>₩84,957,307,260</t>
  </si>
  <si>
    <t>384470</t>
  </si>
  <si>
    <t>코어라인소프트</t>
  </si>
  <si>
    <t>₩476,348,540</t>
  </si>
  <si>
    <t>₩96,112,159,360</t>
  </si>
  <si>
    <t>029530</t>
  </si>
  <si>
    <t>신도리코</t>
  </si>
  <si>
    <t>₩227,768,488</t>
  </si>
  <si>
    <t>₩411,769,184,650</t>
  </si>
  <si>
    <t>096775</t>
  </si>
  <si>
    <t>SK이노베이션우</t>
  </si>
  <si>
    <t>₩147,383,690</t>
  </si>
  <si>
    <t>₩94,006,477,800</t>
  </si>
  <si>
    <t>013030</t>
  </si>
  <si>
    <t>하이록코리아</t>
  </si>
  <si>
    <t>₩903,579,626</t>
  </si>
  <si>
    <t>₩316,901,632,500</t>
  </si>
  <si>
    <t>000140</t>
  </si>
  <si>
    <t>하이트진로홀딩스</t>
  </si>
  <si>
    <t>₩401,152,306</t>
  </si>
  <si>
    <t>₩219,768,064,550</t>
  </si>
  <si>
    <t>357230</t>
  </si>
  <si>
    <t>에이치피오</t>
  </si>
  <si>
    <t>₩127,288,102</t>
  </si>
  <si>
    <t>₩122,269,959,735</t>
  </si>
  <si>
    <t>145020</t>
  </si>
  <si>
    <t>휴젤</t>
  </si>
  <si>
    <t>₩52,590,655,024</t>
  </si>
  <si>
    <t>₩3,541,733,273,000</t>
  </si>
  <si>
    <t>115480</t>
  </si>
  <si>
    <t>씨유메디칼</t>
  </si>
  <si>
    <t>₩95,180,040</t>
  </si>
  <si>
    <t>₩35,300,376,456</t>
  </si>
  <si>
    <t>009835</t>
  </si>
  <si>
    <t>한화솔루션우</t>
  </si>
  <si>
    <t>₩87,332,648</t>
  </si>
  <si>
    <t>₩44,038,467,900</t>
  </si>
  <si>
    <t>063170</t>
  </si>
  <si>
    <t>서울옥션</t>
  </si>
  <si>
    <t>₩5,201,478,971</t>
  </si>
  <si>
    <t>₩131,885,061,140</t>
  </si>
  <si>
    <t>002350</t>
  </si>
  <si>
    <t>넥센타이어</t>
  </si>
  <si>
    <t>₩356,383,459</t>
  </si>
  <si>
    <t>₩649,491,382,050</t>
  </si>
  <si>
    <t>053950</t>
  </si>
  <si>
    <t>경남제약</t>
  </si>
  <si>
    <t>₩4,795,760,657</t>
  </si>
  <si>
    <t>₩60,357,358,710</t>
  </si>
  <si>
    <t>146320</t>
  </si>
  <si>
    <t>비씨엔씨</t>
  </si>
  <si>
    <t>₩782,333,236</t>
  </si>
  <si>
    <t>₩140,722,153,000</t>
  </si>
  <si>
    <t>478440</t>
  </si>
  <si>
    <t>미래에셋비전스팩6호</t>
  </si>
  <si>
    <t>₩26,463,616</t>
  </si>
  <si>
    <t>₩14,033,250,000</t>
  </si>
  <si>
    <t>011155</t>
  </si>
  <si>
    <t>CJ씨푸드1우</t>
  </si>
  <si>
    <t>₩5,640,108</t>
  </si>
  <si>
    <t>₩3,520,000,000</t>
  </si>
  <si>
    <t>008060</t>
  </si>
  <si>
    <t>대덕</t>
  </si>
  <si>
    <t>₩239,756,553</t>
  </si>
  <si>
    <t>₩220,963,778,000</t>
  </si>
  <si>
    <t>460850</t>
  </si>
  <si>
    <t>동국씨엠</t>
  </si>
  <si>
    <t>₩412,423,070</t>
  </si>
  <si>
    <t>₩193,743,290,880</t>
  </si>
  <si>
    <t>000370</t>
  </si>
  <si>
    <t>한화손해보험</t>
  </si>
  <si>
    <t>₩1,459,752,059</t>
  </si>
  <si>
    <t>₩558,012,013,700</t>
  </si>
  <si>
    <t>064550</t>
  </si>
  <si>
    <t>바이오니아</t>
  </si>
  <si>
    <t>₩4,455,579,390</t>
  </si>
  <si>
    <t>₩552,340,227,400</t>
  </si>
  <si>
    <t>298690</t>
  </si>
  <si>
    <t>에어부산</t>
  </si>
  <si>
    <t>₩271,505,908</t>
  </si>
  <si>
    <t>₩276,436,800,000</t>
  </si>
  <si>
    <t>388720</t>
  </si>
  <si>
    <t>유일로보틱스</t>
  </si>
  <si>
    <t>₩2,705,609,681</t>
  </si>
  <si>
    <t>₩341,885,004,900</t>
  </si>
  <si>
    <t>002150</t>
  </si>
  <si>
    <t>도화엔지니어링</t>
  </si>
  <si>
    <t>₩339,948,796</t>
  </si>
  <si>
    <t>₩233,005,200,000</t>
  </si>
  <si>
    <t>041920</t>
  </si>
  <si>
    <t>메디아나</t>
  </si>
  <si>
    <t>₩114,938,963</t>
  </si>
  <si>
    <t>₩79,879,367,785</t>
  </si>
  <si>
    <t>010120</t>
  </si>
  <si>
    <t>LS ELECTRIC</t>
  </si>
  <si>
    <t>₩48,328,036,419</t>
  </si>
  <si>
    <t>₩4,947,000,000,000</t>
  </si>
  <si>
    <t>353190</t>
  </si>
  <si>
    <t>휴럼</t>
  </si>
  <si>
    <t>₩226,231,599</t>
  </si>
  <si>
    <t>₩30,518,275,500</t>
  </si>
  <si>
    <t>052220</t>
  </si>
  <si>
    <t>iMBC</t>
  </si>
  <si>
    <t>₩470,955,370</t>
  </si>
  <si>
    <t>₩55,775,000,000</t>
  </si>
  <si>
    <t>37550L</t>
  </si>
  <si>
    <t>DL이앤씨2우(전환)</t>
  </si>
  <si>
    <t>₩61,558,510</t>
  </si>
  <si>
    <t>₩44,034,178,350</t>
  </si>
  <si>
    <t>101680</t>
  </si>
  <si>
    <t>한국정밀기계</t>
  </si>
  <si>
    <t>₩50,644,377</t>
  </si>
  <si>
    <t>₩22,018,480,000</t>
  </si>
  <si>
    <t>217190</t>
  </si>
  <si>
    <t>제너셈</t>
  </si>
  <si>
    <t>₩810,916,408</t>
  </si>
  <si>
    <t>₩84,184,070,400</t>
  </si>
  <si>
    <t>271560</t>
  </si>
  <si>
    <t>오리온</t>
  </si>
  <si>
    <t>₩12,505,962,657</t>
  </si>
  <si>
    <t>₩3,914,077,068,000</t>
  </si>
  <si>
    <t>206400</t>
  </si>
  <si>
    <t>베노티앤알</t>
  </si>
  <si>
    <t>₩1,011,189,408</t>
  </si>
  <si>
    <t>₩140,872,594,470</t>
  </si>
  <si>
    <t>026890</t>
  </si>
  <si>
    <t>스틱인베스트먼트</t>
  </si>
  <si>
    <t>₩1,039,466,360</t>
  </si>
  <si>
    <t>₩326,756,892,000</t>
  </si>
  <si>
    <t>085910</t>
  </si>
  <si>
    <t>네오티스</t>
  </si>
  <si>
    <t>₩83,798,891</t>
  </si>
  <si>
    <t>₩47,448,055,290</t>
  </si>
  <si>
    <t>004370</t>
  </si>
  <si>
    <t>농심</t>
  </si>
  <si>
    <t>₩5,340,695,000</t>
  </si>
  <si>
    <t>₩2,147,172,626,000</t>
  </si>
  <si>
    <t>035000</t>
  </si>
  <si>
    <t>HS애드</t>
  </si>
  <si>
    <t>₩54,470,451</t>
  </si>
  <si>
    <t>₩108,019,506,680</t>
  </si>
  <si>
    <t>052770</t>
  </si>
  <si>
    <t>아이톡시</t>
  </si>
  <si>
    <t>₩773,819,270</t>
  </si>
  <si>
    <t>₩68,278,044,724</t>
  </si>
  <si>
    <t>003200</t>
  </si>
  <si>
    <t>일신방직</t>
  </si>
  <si>
    <t>₩294,971,431</t>
  </si>
  <si>
    <t>₩179,023,200,000</t>
  </si>
  <si>
    <t>068240</t>
  </si>
  <si>
    <t>다원시스</t>
  </si>
  <si>
    <t>₩1,930,412,455</t>
  </si>
  <si>
    <t>₩388,885,423,030</t>
  </si>
  <si>
    <t>043610</t>
  </si>
  <si>
    <t>지니뮤직</t>
  </si>
  <si>
    <t>₩6,738,905,998</t>
  </si>
  <si>
    <t>₩129,888,003,930</t>
  </si>
  <si>
    <t>079650</t>
  </si>
  <si>
    <t>서산</t>
  </si>
  <si>
    <t>₩12,818,880</t>
  </si>
  <si>
    <t>₩24,820,000,000</t>
  </si>
  <si>
    <t>060560</t>
  </si>
  <si>
    <t>홈센타홀딩스</t>
  </si>
  <si>
    <t>₩532,556,626</t>
  </si>
  <si>
    <t>₩99,071,551,400</t>
  </si>
  <si>
    <t>017890</t>
  </si>
  <si>
    <t>한국알콜</t>
  </si>
  <si>
    <t>₩207,481,000</t>
  </si>
  <si>
    <t>₩195,316,070,400</t>
  </si>
  <si>
    <t>007530</t>
  </si>
  <si>
    <t>와이엠</t>
  </si>
  <si>
    <t>₩47,041,487</t>
  </si>
  <si>
    <t>₩50,332,936,500</t>
  </si>
  <si>
    <t>332290</t>
  </si>
  <si>
    <t>누보</t>
  </si>
  <si>
    <t>₩85,190,764</t>
  </si>
  <si>
    <t>₩37,224,055,345</t>
  </si>
  <si>
    <t>052600</t>
  </si>
  <si>
    <t>한네트</t>
  </si>
  <si>
    <t>₩2,616,538,358</t>
  </si>
  <si>
    <t>₩46,890,803,500</t>
  </si>
  <si>
    <t>008830</t>
  </si>
  <si>
    <t>대동기어</t>
  </si>
  <si>
    <t>₩259,098,386</t>
  </si>
  <si>
    <t>₩69,563,404,800</t>
  </si>
  <si>
    <t>043150</t>
  </si>
  <si>
    <t>바텍</t>
  </si>
  <si>
    <t>₩796,227,948</t>
  </si>
  <si>
    <t>₩320,851,929,600</t>
  </si>
  <si>
    <t>017960</t>
  </si>
  <si>
    <t>한국카본</t>
  </si>
  <si>
    <t>₩2,473,721,610</t>
  </si>
  <si>
    <t>₩581,893,746,920</t>
  </si>
  <si>
    <t>021880</t>
  </si>
  <si>
    <t>메이슨캐피탈</t>
  </si>
  <si>
    <t>₩81,505,802</t>
  </si>
  <si>
    <t>₩46,111,875,624</t>
  </si>
  <si>
    <t>284740</t>
  </si>
  <si>
    <t>쿠쿠홈시스</t>
  </si>
  <si>
    <t>₩564,637,640</t>
  </si>
  <si>
    <t>₩484,646,328,000</t>
  </si>
  <si>
    <t>002810</t>
  </si>
  <si>
    <t>삼영무역</t>
  </si>
  <si>
    <t>₩128,789,169</t>
  </si>
  <si>
    <t>₩236,561,603,880</t>
  </si>
  <si>
    <t>032080</t>
  </si>
  <si>
    <t>아즈텍WB</t>
  </si>
  <si>
    <t>₩30,158,636</t>
  </si>
  <si>
    <t>₩24,091,443,509</t>
  </si>
  <si>
    <t>013810</t>
  </si>
  <si>
    <t>스페코</t>
  </si>
  <si>
    <t>₩31,754,889,745</t>
  </si>
  <si>
    <t>₩59,354,653,500</t>
  </si>
  <si>
    <t>466910</t>
  </si>
  <si>
    <t>엔에이치스팩30호</t>
  </si>
  <si>
    <t>₩31,475,390</t>
  </si>
  <si>
    <t>₩18,181,800,000</t>
  </si>
  <si>
    <t>002390</t>
  </si>
  <si>
    <t>한독</t>
  </si>
  <si>
    <t>₩10,627,072,393</t>
  </si>
  <si>
    <t>₩187,596,954,790</t>
  </si>
  <si>
    <t>196700</t>
  </si>
  <si>
    <t>웹스</t>
  </si>
  <si>
    <t>₩45,469,357</t>
  </si>
  <si>
    <t>₩17,754,081,984</t>
  </si>
  <si>
    <t>389020</t>
  </si>
  <si>
    <t>자람테크놀로지</t>
  </si>
  <si>
    <t>₩3,734,149,274</t>
  </si>
  <si>
    <t>₩182,523,148,500</t>
  </si>
  <si>
    <t>017480</t>
  </si>
  <si>
    <t>삼현철강</t>
  </si>
  <si>
    <t>₩150,681,258</t>
  </si>
  <si>
    <t>₩71,683,692,850</t>
  </si>
  <si>
    <t>092040</t>
  </si>
  <si>
    <t>아미코젠</t>
  </si>
  <si>
    <t>₩1,697,306,144</t>
  </si>
  <si>
    <t>₩231,902,332,605</t>
  </si>
  <si>
    <t>101160</t>
  </si>
  <si>
    <t>월덱스</t>
  </si>
  <si>
    <t>₩2,091,965,755</t>
  </si>
  <si>
    <t>₩301,986,061,970</t>
  </si>
  <si>
    <t>304360</t>
  </si>
  <si>
    <t>에스바이오메딕스</t>
  </si>
  <si>
    <t>₩5,636,446,607</t>
  </si>
  <si>
    <t>₩424,023,235,600</t>
  </si>
  <si>
    <t>449020</t>
  </si>
  <si>
    <t>유안타제13호스팩</t>
  </si>
  <si>
    <t>₩48,548,758</t>
  </si>
  <si>
    <t>₩19,654,600,000</t>
  </si>
  <si>
    <t>010780</t>
  </si>
  <si>
    <t>아이에스동서</t>
  </si>
  <si>
    <t>₩608,411,471</t>
  </si>
  <si>
    <t>₩601,928,301,440</t>
  </si>
  <si>
    <t>036090</t>
  </si>
  <si>
    <t>위지트</t>
  </si>
  <si>
    <t>₩3,449,610,844</t>
  </si>
  <si>
    <t>₩98,265,595,720</t>
  </si>
  <si>
    <t>044820</t>
  </si>
  <si>
    <t>코스맥스비티아이</t>
  </si>
  <si>
    <t>₩30,737,595</t>
  </si>
  <si>
    <t>₩83,650,151,910</t>
  </si>
  <si>
    <t>058610</t>
  </si>
  <si>
    <t>에스피지</t>
  </si>
  <si>
    <t>₩2,591,243,264</t>
  </si>
  <si>
    <t>₩457,962,484,000</t>
  </si>
  <si>
    <t>028100</t>
  </si>
  <si>
    <t>동아지질</t>
  </si>
  <si>
    <t>₩907,900,041</t>
  </si>
  <si>
    <t>₩184,792,294,900</t>
  </si>
  <si>
    <t>417860</t>
  </si>
  <si>
    <t>오브젠</t>
  </si>
  <si>
    <t>₩57,502,396</t>
  </si>
  <si>
    <t>₩44,350,446,140</t>
  </si>
  <si>
    <t>009680</t>
  </si>
  <si>
    <t>모토닉</t>
  </si>
  <si>
    <t>₩121,462,644</t>
  </si>
  <si>
    <t>₩285,780,000,000</t>
  </si>
  <si>
    <t>108675</t>
  </si>
  <si>
    <t>LX하우시스우</t>
  </si>
  <si>
    <t>₩36,428,443</t>
  </si>
  <si>
    <t>₩22,762,876,500</t>
  </si>
  <si>
    <t>038460</t>
  </si>
  <si>
    <t>바이오스마트</t>
  </si>
  <si>
    <t>₩1,017,900,887</t>
  </si>
  <si>
    <t>₩89,744,022,340</t>
  </si>
  <si>
    <t>079950</t>
  </si>
  <si>
    <t>인베니아</t>
  </si>
  <si>
    <t>₩18,708,578</t>
  </si>
  <si>
    <t>₩18,397,600,000</t>
  </si>
  <si>
    <t>030720</t>
  </si>
  <si>
    <t>동원수산</t>
  </si>
  <si>
    <t>₩29,662,565</t>
  </si>
  <si>
    <t>₩26,526,688,500</t>
  </si>
  <si>
    <t>000725</t>
  </si>
  <si>
    <t>현대건설우</t>
  </si>
  <si>
    <t>₩248,715,824</t>
  </si>
  <si>
    <t>₩52,681,915,350</t>
  </si>
  <si>
    <t>340570</t>
  </si>
  <si>
    <t>티앤엘</t>
  </si>
  <si>
    <t>₩5,784,390,476</t>
  </si>
  <si>
    <t>₩542,137,600,000</t>
  </si>
  <si>
    <t>001130</t>
  </si>
  <si>
    <t>대한제분</t>
  </si>
  <si>
    <t>₩199,325,905</t>
  </si>
  <si>
    <t>₩214,799,000,000</t>
  </si>
  <si>
    <t>065570</t>
  </si>
  <si>
    <t>삼영이엔씨</t>
  </si>
  <si>
    <t>₩621,770,199</t>
  </si>
  <si>
    <t>₩32,725,116,705</t>
  </si>
  <si>
    <t>003240</t>
  </si>
  <si>
    <t>태광산업</t>
  </si>
  <si>
    <t>₩345,219,286</t>
  </si>
  <si>
    <t>₩713,689,400,000</t>
  </si>
  <si>
    <t>131220</t>
  </si>
  <si>
    <t>대한과학</t>
  </si>
  <si>
    <t>₩77,690,339</t>
  </si>
  <si>
    <t>₩35,185,192,800</t>
  </si>
  <si>
    <t>094480</t>
  </si>
  <si>
    <t>갤럭시아머니트리</t>
  </si>
  <si>
    <t>₩23,812,537,338</t>
  </si>
  <si>
    <t>₩384,452,412,400</t>
  </si>
  <si>
    <t>010950</t>
  </si>
  <si>
    <t>S-Oil</t>
  </si>
  <si>
    <t>₩8,850,338,610</t>
  </si>
  <si>
    <t>₩6,507,285,377,600</t>
  </si>
  <si>
    <t>331520</t>
  </si>
  <si>
    <t>밸로프</t>
  </si>
  <si>
    <t>₩85,039,210</t>
  </si>
  <si>
    <t>₩34,333,463,250</t>
  </si>
  <si>
    <t>030190</t>
  </si>
  <si>
    <t>NICE평가정보</t>
  </si>
  <si>
    <t>₩981,305,423</t>
  </si>
  <si>
    <t>₩647,359,605,900</t>
  </si>
  <si>
    <t>108490</t>
  </si>
  <si>
    <t>로보티즈</t>
  </si>
  <si>
    <t>₩672,771,280</t>
  </si>
  <si>
    <t>₩230,266,650,600</t>
  </si>
  <si>
    <t>027410</t>
  </si>
  <si>
    <t>BGF</t>
  </si>
  <si>
    <t>₩192,914,055</t>
  </si>
  <si>
    <t>₩342,187,527,825</t>
  </si>
  <si>
    <t>000080</t>
  </si>
  <si>
    <t>하이트진로</t>
  </si>
  <si>
    <t>₩5,321,223,663</t>
  </si>
  <si>
    <t>₩1,406,178,900,550</t>
  </si>
  <si>
    <t>35320K</t>
  </si>
  <si>
    <t>대덕전자1우</t>
  </si>
  <si>
    <t>₩33,363,305</t>
  </si>
  <si>
    <t>₩17,204,210,990</t>
  </si>
  <si>
    <t>192080</t>
  </si>
  <si>
    <t>더블유게임즈</t>
  </si>
  <si>
    <t>₩2,619,882,776</t>
  </si>
  <si>
    <t>₩1,076,944,890,600</t>
  </si>
  <si>
    <t>189860</t>
  </si>
  <si>
    <t>서전기전</t>
  </si>
  <si>
    <t>₩3,405,352,811</t>
  </si>
  <si>
    <t>₩46,796,613,500</t>
  </si>
  <si>
    <t>142760</t>
  </si>
  <si>
    <t>모아라이프플러스</t>
  </si>
  <si>
    <t>₩209,192,923</t>
  </si>
  <si>
    <t>₩52,413,652,479</t>
  </si>
  <si>
    <t>019680</t>
  </si>
  <si>
    <t>대교</t>
  </si>
  <si>
    <t>₩387,191,963</t>
  </si>
  <si>
    <t>₩203,286,840,000</t>
  </si>
  <si>
    <t>072470</t>
  </si>
  <si>
    <t>우리산업홀딩스</t>
  </si>
  <si>
    <t>₩324,463,908</t>
  </si>
  <si>
    <t>₩54,584,415,490</t>
  </si>
  <si>
    <t>002680</t>
  </si>
  <si>
    <t>한탑</t>
  </si>
  <si>
    <t>₩936,428,001</t>
  </si>
  <si>
    <t>₩22,104,690,516</t>
  </si>
  <si>
    <t>430220</t>
  </si>
  <si>
    <t>신영스팩8호</t>
  </si>
  <si>
    <t>₩54,035,799</t>
  </si>
  <si>
    <t>₩14,466,400,000</t>
  </si>
  <si>
    <t>001460</t>
  </si>
  <si>
    <t>BYC</t>
  </si>
  <si>
    <t>₩270,627,869</t>
  </si>
  <si>
    <t>₩195,192,187,500</t>
  </si>
  <si>
    <t>004590</t>
  </si>
  <si>
    <t>한국가구</t>
  </si>
  <si>
    <t>₩29,793,464</t>
  </si>
  <si>
    <t>₩55,050,000,000</t>
  </si>
  <si>
    <t>131100</t>
  </si>
  <si>
    <t>티엔엔터테인먼트</t>
  </si>
  <si>
    <t>₩64,987,771</t>
  </si>
  <si>
    <t>₩42,268,715,764</t>
  </si>
  <si>
    <t>011760</t>
  </si>
  <si>
    <t>현대코퍼레이션</t>
  </si>
  <si>
    <t>₩1,158,534,182</t>
  </si>
  <si>
    <t>₩269,870,906,400</t>
  </si>
  <si>
    <t>038530</t>
  </si>
  <si>
    <t>케이바이오</t>
  </si>
  <si>
    <t>₩165,493,718</t>
  </si>
  <si>
    <t>₩28,581,443,709</t>
  </si>
  <si>
    <t>035720</t>
  </si>
  <si>
    <t>카카오</t>
  </si>
  <si>
    <t>₩41,003,741,729</t>
  </si>
  <si>
    <t>₩14,947,720,395,800</t>
  </si>
  <si>
    <t>039340</t>
  </si>
  <si>
    <t>한국경제TV</t>
  </si>
  <si>
    <t>₩147,623,230</t>
  </si>
  <si>
    <t>₩130,870,000,000</t>
  </si>
  <si>
    <t>158430</t>
  </si>
  <si>
    <t>아톤</t>
  </si>
  <si>
    <t>₩1,691,533,898</t>
  </si>
  <si>
    <t>₩94,365,328,950</t>
  </si>
  <si>
    <t>18064K</t>
  </si>
  <si>
    <t>한진칼우</t>
  </si>
  <si>
    <t>₩25,850,121</t>
  </si>
  <si>
    <t>₩12,882,384,000</t>
  </si>
  <si>
    <t>007210</t>
  </si>
  <si>
    <t>벽산</t>
  </si>
  <si>
    <t>₩275,882,890</t>
  </si>
  <si>
    <t>₩133,701,240,000</t>
  </si>
  <si>
    <t>091590</t>
  </si>
  <si>
    <t>남화토건</t>
  </si>
  <si>
    <t>₩30,772,140</t>
  </si>
  <si>
    <t>₩46,549,100,000</t>
  </si>
  <si>
    <t>267290</t>
  </si>
  <si>
    <t>경동도시가스</t>
  </si>
  <si>
    <t>₩87,861,549</t>
  </si>
  <si>
    <t>₩109,949,321,900</t>
  </si>
  <si>
    <t>145270</t>
  </si>
  <si>
    <t>케이탑리츠</t>
  </si>
  <si>
    <t>₩86,450,331</t>
  </si>
  <si>
    <t>₩48,060,774,000</t>
  </si>
  <si>
    <t>009140</t>
  </si>
  <si>
    <t>경인전자</t>
  </si>
  <si>
    <t>₩98,404,881</t>
  </si>
  <si>
    <t>₩31,730,099,400</t>
  </si>
  <si>
    <t>263810</t>
  </si>
  <si>
    <t>상신전자</t>
  </si>
  <si>
    <t>₩181,588,800</t>
  </si>
  <si>
    <t>₩44,657,190,930</t>
  </si>
  <si>
    <t>012610</t>
  </si>
  <si>
    <t>경인양행</t>
  </si>
  <si>
    <t>₩108,607,435</t>
  </si>
  <si>
    <t>₩122,560,194,925</t>
  </si>
  <si>
    <t>003850</t>
  </si>
  <si>
    <t>보령</t>
  </si>
  <si>
    <t>₩5,240,587,451</t>
  </si>
  <si>
    <t>₩749,407,900,000</t>
  </si>
  <si>
    <t>003530</t>
  </si>
  <si>
    <t>한화투자증권</t>
  </si>
  <si>
    <t>₩13,796,888,228</t>
  </si>
  <si>
    <t>₩892,518,744,000</t>
  </si>
  <si>
    <t>377300</t>
  </si>
  <si>
    <t>카카오페이</t>
  </si>
  <si>
    <t>₩5,162,215,779</t>
  </si>
  <si>
    <t>₩3,109,629,276,600</t>
  </si>
  <si>
    <t>002820</t>
  </si>
  <si>
    <t>SUN&amp;L</t>
  </si>
  <si>
    <t>₩43,497,817</t>
  </si>
  <si>
    <t>₩38,328,286,560</t>
  </si>
  <si>
    <t>273640</t>
  </si>
  <si>
    <t>와이엠텍</t>
  </si>
  <si>
    <t>₩377,435,048</t>
  </si>
  <si>
    <t>₩125,451,040,000</t>
  </si>
  <si>
    <t>053620</t>
  </si>
  <si>
    <t>태양</t>
  </si>
  <si>
    <t>₩11,622,073</t>
  </si>
  <si>
    <t>₩54,696,000,000</t>
  </si>
  <si>
    <t>437780</t>
  </si>
  <si>
    <t>엔에이치스팩24호</t>
  </si>
  <si>
    <t>₩6,972,097</t>
  </si>
  <si>
    <t>₩10,588,150,000</t>
  </si>
  <si>
    <t>086900</t>
  </si>
  <si>
    <t>메디톡스</t>
  </si>
  <si>
    <t>₩9,643,428,571</t>
  </si>
  <si>
    <t>₩1,008,652,285,400</t>
  </si>
  <si>
    <t>104540</t>
  </si>
  <si>
    <t>코렌텍</t>
  </si>
  <si>
    <t>₩75,632,397</t>
  </si>
  <si>
    <t>₩77,353,727,000</t>
  </si>
  <si>
    <t>053280</t>
  </si>
  <si>
    <t>예스24</t>
  </si>
  <si>
    <t>₩21,187,070,476</t>
  </si>
  <si>
    <t>₩135,250,000,000</t>
  </si>
  <si>
    <t>060590</t>
  </si>
  <si>
    <t>씨티씨바이오</t>
  </si>
  <si>
    <t>₩1,935,429,300</t>
  </si>
  <si>
    <t>₩186,919,284,600</t>
  </si>
  <si>
    <t>029780</t>
  </si>
  <si>
    <t>삼성카드</t>
  </si>
  <si>
    <t>₩2,341,975,843</t>
  </si>
  <si>
    <t>₩4,686,492,140,950</t>
  </si>
  <si>
    <t>276730</t>
  </si>
  <si>
    <t>제주맥주</t>
  </si>
  <si>
    <t>₩846,426,858</t>
  </si>
  <si>
    <t>₩35,481,515,925</t>
  </si>
  <si>
    <t>008370</t>
  </si>
  <si>
    <t>원풍</t>
  </si>
  <si>
    <t>₩57,028,999</t>
  </si>
  <si>
    <t>₩58,620,000,000</t>
  </si>
  <si>
    <t>405100</t>
  </si>
  <si>
    <t>큐알티</t>
  </si>
  <si>
    <t>₩1,836,463,340</t>
  </si>
  <si>
    <t>₩208,303,651,950</t>
  </si>
  <si>
    <t>200780</t>
  </si>
  <si>
    <t>비씨월드제약</t>
  </si>
  <si>
    <t>₩42,124,910</t>
  </si>
  <si>
    <t>₩43,261,448,160</t>
  </si>
  <si>
    <t>272210</t>
  </si>
  <si>
    <t>한화시스템</t>
  </si>
  <si>
    <t>₩85,451,018,528</t>
  </si>
  <si>
    <t>₩4,959,133,961,250</t>
  </si>
  <si>
    <t>003230</t>
  </si>
  <si>
    <t>삼양식품</t>
  </si>
  <si>
    <t>₩37,741,149,571</t>
  </si>
  <si>
    <t>₩4,233,554,430,000</t>
  </si>
  <si>
    <t>003030</t>
  </si>
  <si>
    <t>세아제강지주</t>
  </si>
  <si>
    <t>₩830,482,871</t>
  </si>
  <si>
    <t>₩796,026,475,400</t>
  </si>
  <si>
    <t>017900</t>
  </si>
  <si>
    <t>광전자</t>
  </si>
  <si>
    <t>₩456,551,967</t>
  </si>
  <si>
    <t>₩106,210,917,579</t>
  </si>
  <si>
    <t>080420</t>
  </si>
  <si>
    <t>모다이노칩</t>
  </si>
  <si>
    <t>₩5,526,878</t>
  </si>
  <si>
    <t>₩151,789,968,288</t>
  </si>
  <si>
    <t>294090</t>
  </si>
  <si>
    <t>이오플로우</t>
  </si>
  <si>
    <t>₩3,632,106,020</t>
  </si>
  <si>
    <t>₩137,569,178,680</t>
  </si>
  <si>
    <t>109740</t>
  </si>
  <si>
    <t>디에스케이</t>
  </si>
  <si>
    <t>₩38,116,280</t>
  </si>
  <si>
    <t>₩127,266,430,500</t>
  </si>
  <si>
    <t>024880</t>
  </si>
  <si>
    <t>케이피에프</t>
  </si>
  <si>
    <t>₩228,192,338</t>
  </si>
  <si>
    <t>₩86,040,439,680</t>
  </si>
  <si>
    <t>015260</t>
  </si>
  <si>
    <t>에이엔피</t>
  </si>
  <si>
    <t>₩79,075,655</t>
  </si>
  <si>
    <t>₩33,657,202,924</t>
  </si>
  <si>
    <t>093320</t>
  </si>
  <si>
    <t>케이아이엔엑스</t>
  </si>
  <si>
    <t>₩877,998,638</t>
  </si>
  <si>
    <t>₩309,392,000,000</t>
  </si>
  <si>
    <t>277810</t>
  </si>
  <si>
    <t>레인보우로보틱스</t>
  </si>
  <si>
    <t>₩11,231,016,595</t>
  </si>
  <si>
    <t>₩2,469,601,923,400</t>
  </si>
  <si>
    <t>012200</t>
  </si>
  <si>
    <t>계양전기</t>
  </si>
  <si>
    <t>₩1,021,864,106</t>
  </si>
  <si>
    <t>₩40,208,118,433</t>
  </si>
  <si>
    <t>039570</t>
  </si>
  <si>
    <t>HDC랩스</t>
  </si>
  <si>
    <t>₩78,197,622</t>
  </si>
  <si>
    <t>₩206,103,351,940</t>
  </si>
  <si>
    <t>203400</t>
  </si>
  <si>
    <t>에이비온</t>
  </si>
  <si>
    <t>₩813,808,807</t>
  </si>
  <si>
    <t>₩206,338,634,960</t>
  </si>
  <si>
    <t>311320</t>
  </si>
  <si>
    <t>지오엘리먼트</t>
  </si>
  <si>
    <t>₩332,144,277</t>
  </si>
  <si>
    <t>₩87,923,483,200</t>
  </si>
  <si>
    <t>069960</t>
  </si>
  <si>
    <t>현대백화점</t>
  </si>
  <si>
    <t>₩2,129,206,805</t>
  </si>
  <si>
    <t>₩1,007,475,085,050</t>
  </si>
  <si>
    <t>036030</t>
  </si>
  <si>
    <t>케이티알파</t>
  </si>
  <si>
    <t>₩607,729,052</t>
  </si>
  <si>
    <t>₩193,135,975,020</t>
  </si>
  <si>
    <t>098660</t>
  </si>
  <si>
    <t>에스티오</t>
  </si>
  <si>
    <t>₩239,994,106</t>
  </si>
  <si>
    <t>₩37,815,452,400</t>
  </si>
  <si>
    <t>278280</t>
  </si>
  <si>
    <t>천보</t>
  </si>
  <si>
    <t>₩1,167,710,252</t>
  </si>
  <si>
    <t>₩475,500,000,000</t>
  </si>
  <si>
    <t>094360</t>
  </si>
  <si>
    <t>칩스앤미디어</t>
  </si>
  <si>
    <t>₩1,555,318,398</t>
  </si>
  <si>
    <t>₩276,531,086,720</t>
  </si>
  <si>
    <t>154030</t>
  </si>
  <si>
    <t>아시아종묘</t>
  </si>
  <si>
    <t>₩97,867,363</t>
  </si>
  <si>
    <t>₩25,500,974,400</t>
  </si>
  <si>
    <t>065770</t>
  </si>
  <si>
    <t>CS</t>
  </si>
  <si>
    <t>₩27,609,399</t>
  </si>
  <si>
    <t>₩19,663,474,690</t>
  </si>
  <si>
    <t>195500</t>
  </si>
  <si>
    <t>마니커에프앤지</t>
  </si>
  <si>
    <t>₩2,294,412,346</t>
  </si>
  <si>
    <t>₩46,336,200,000</t>
  </si>
  <si>
    <t>112040</t>
  </si>
  <si>
    <t>위메이드</t>
  </si>
  <si>
    <t>₩13,597,446,367</t>
  </si>
  <si>
    <t>₩1,351,149,623,400</t>
  </si>
  <si>
    <t>126640</t>
  </si>
  <si>
    <t>화신정공</t>
  </si>
  <si>
    <t>₩35,238,406</t>
  </si>
  <si>
    <t>₩47,577,044,196</t>
  </si>
  <si>
    <t>037370</t>
  </si>
  <si>
    <t>EG</t>
  </si>
  <si>
    <t>₩164,409,462</t>
  </si>
  <si>
    <t>₩57,614,812,960</t>
  </si>
  <si>
    <t>059090</t>
  </si>
  <si>
    <t>미코</t>
  </si>
  <si>
    <t>₩2,476,701,271</t>
  </si>
  <si>
    <t>₩289,723,465,260</t>
  </si>
  <si>
    <t>126880</t>
  </si>
  <si>
    <t>제이엔케이글로벌</t>
  </si>
  <si>
    <t>₩451,971,988</t>
  </si>
  <si>
    <t>₩82,957,528,225</t>
  </si>
  <si>
    <t>049770</t>
  </si>
  <si>
    <t>동원F&amp;B</t>
  </si>
  <si>
    <t>₩526,278,429</t>
  </si>
  <si>
    <t>₩620,354,183,000</t>
  </si>
  <si>
    <t>054180</t>
  </si>
  <si>
    <t>메디콕스</t>
  </si>
  <si>
    <t>₩684,697,018</t>
  </si>
  <si>
    <t>₩19,900,859,654</t>
  </si>
  <si>
    <t>036530</t>
  </si>
  <si>
    <t>SNT홀딩스</t>
  </si>
  <si>
    <t>₩291,606,443</t>
  </si>
  <si>
    <t>₩377,434,960,900</t>
  </si>
  <si>
    <t>256840</t>
  </si>
  <si>
    <t>한국비엔씨</t>
  </si>
  <si>
    <t>₩4,167,817,777</t>
  </si>
  <si>
    <t>₩310,699,426,725</t>
  </si>
  <si>
    <t>300720</t>
  </si>
  <si>
    <t>한일시멘트</t>
  </si>
  <si>
    <t>₩1,171,806,058</t>
  </si>
  <si>
    <t>₩947,497,867,200</t>
  </si>
  <si>
    <t>014280</t>
  </si>
  <si>
    <t>금강공업</t>
  </si>
  <si>
    <t>₩125,275,680</t>
  </si>
  <si>
    <t>₩124,063,180,110</t>
  </si>
  <si>
    <t>002900</t>
  </si>
  <si>
    <t>TYM</t>
  </si>
  <si>
    <t>₩332,589,162</t>
  </si>
  <si>
    <t>₩148,442,900,020</t>
  </si>
  <si>
    <t>307750</t>
  </si>
  <si>
    <t>국전약품</t>
  </si>
  <si>
    <t>₩616,890,748</t>
  </si>
  <si>
    <t>₩196,522,422,345</t>
  </si>
  <si>
    <t>244460</t>
  </si>
  <si>
    <t>올리패스</t>
  </si>
  <si>
    <t>₩116,478,527</t>
  </si>
  <si>
    <t>₩20,346,818,650</t>
  </si>
  <si>
    <t>063570</t>
  </si>
  <si>
    <t>한국전자금융</t>
  </si>
  <si>
    <t>₩234,919,373</t>
  </si>
  <si>
    <t>₩170,738,640,000</t>
  </si>
  <si>
    <t>014790</t>
  </si>
  <si>
    <t>HL D&amp;I</t>
  </si>
  <si>
    <t>₩112,767,132</t>
  </si>
  <si>
    <t>₩88,967,712,350</t>
  </si>
  <si>
    <t>006800</t>
  </si>
  <si>
    <t>미래에셋증권</t>
  </si>
  <si>
    <t>₩6,262,687,287</t>
  </si>
  <si>
    <t>₩5,089,955,288,400</t>
  </si>
  <si>
    <t>011785</t>
  </si>
  <si>
    <t>금호석유우</t>
  </si>
  <si>
    <t>₩481,594,529</t>
  </si>
  <si>
    <t>₩175,059,839,400</t>
  </si>
  <si>
    <t>088790</t>
  </si>
  <si>
    <t>진도</t>
  </si>
  <si>
    <t>₩62,335,801</t>
  </si>
  <si>
    <t>₩21,845,790,720</t>
  </si>
  <si>
    <t>009770</t>
  </si>
  <si>
    <t>삼정펄프</t>
  </si>
  <si>
    <t>₩11,248,540</t>
  </si>
  <si>
    <t>₩67,124,221,350</t>
  </si>
  <si>
    <t>103230</t>
  </si>
  <si>
    <t>에스앤더블류</t>
  </si>
  <si>
    <t>₩49,474,935</t>
  </si>
  <si>
    <t>₩26,352,000,000</t>
  </si>
  <si>
    <t>234300</t>
  </si>
  <si>
    <t>에스트래픽</t>
  </si>
  <si>
    <t>₩1,905,474,408</t>
  </si>
  <si>
    <t>₩114,159,426,040</t>
  </si>
  <si>
    <t>005500</t>
  </si>
  <si>
    <t>삼진제약</t>
  </si>
  <si>
    <t>₩288,380,518</t>
  </si>
  <si>
    <t>₩246,725,000,000</t>
  </si>
  <si>
    <t>152550</t>
  </si>
  <si>
    <t>한국ANKOR유전</t>
  </si>
  <si>
    <t>₩377,368,526</t>
  </si>
  <si>
    <t>₩25,207,200,000</t>
  </si>
  <si>
    <t>477470</t>
  </si>
  <si>
    <t>미래에셋비전스팩5호</t>
  </si>
  <si>
    <t>₩26,635,465</t>
  </si>
  <si>
    <t>₩11,234,000,000</t>
  </si>
  <si>
    <t>021240</t>
  </si>
  <si>
    <t>코웨이</t>
  </si>
  <si>
    <t>₩7,041,161,867</t>
  </si>
  <si>
    <t>₩4,509,156,720,900</t>
  </si>
  <si>
    <t>004985</t>
  </si>
  <si>
    <t>성신양회우</t>
  </si>
  <si>
    <t>₩16,902,625</t>
  </si>
  <si>
    <t>₩8,378,996,550</t>
  </si>
  <si>
    <t>137400</t>
  </si>
  <si>
    <t>피엔티</t>
  </si>
  <si>
    <t>₩14,878,260,881</t>
  </si>
  <si>
    <t>₩1,123,047,967,800</t>
  </si>
  <si>
    <t>058430</t>
  </si>
  <si>
    <t>포스코스틸리온</t>
  </si>
  <si>
    <t>₩353,582,767</t>
  </si>
  <si>
    <t>₩213,000,000,000</t>
  </si>
  <si>
    <t>234690</t>
  </si>
  <si>
    <t>녹십자웰빙</t>
  </si>
  <si>
    <t>₩2,547,888,116</t>
  </si>
  <si>
    <t>₩176,102,577,920</t>
  </si>
  <si>
    <t>002170</t>
  </si>
  <si>
    <t>삼양통상</t>
  </si>
  <si>
    <t>₩277,602,581</t>
  </si>
  <si>
    <t>₩146,100,000,000</t>
  </si>
  <si>
    <t>067900</t>
  </si>
  <si>
    <t>와이엔텍</t>
  </si>
  <si>
    <t>₩112,408,957</t>
  </si>
  <si>
    <t>₩116,841,810,780</t>
  </si>
  <si>
    <t>016670</t>
  </si>
  <si>
    <t>디모아</t>
  </si>
  <si>
    <t>₩304,529,527</t>
  </si>
  <si>
    <t>₩18,383,667,120</t>
  </si>
  <si>
    <t>263700</t>
  </si>
  <si>
    <t>케어랩스</t>
  </si>
  <si>
    <t>₩71,532,590</t>
  </si>
  <si>
    <t>₩53,583,192,000</t>
  </si>
  <si>
    <t>000250</t>
  </si>
  <si>
    <t>삼천당제약</t>
  </si>
  <si>
    <t>₩49,566,030,376</t>
  </si>
  <si>
    <t>₩3,138,609,753,600</t>
  </si>
  <si>
    <t>356680</t>
  </si>
  <si>
    <t>엑스게이트</t>
  </si>
  <si>
    <t>₩21,110,675,139</t>
  </si>
  <si>
    <t>₩148,426,158,400</t>
  </si>
  <si>
    <t>024830</t>
  </si>
  <si>
    <t>세원물산</t>
  </si>
  <si>
    <t>₩11,305,996</t>
  </si>
  <si>
    <t>₩50,935,000,000</t>
  </si>
  <si>
    <t>222980</t>
  </si>
  <si>
    <t>한국맥널티</t>
  </si>
  <si>
    <t>₩358,644,672</t>
  </si>
  <si>
    <t>₩41,864,477,985</t>
  </si>
  <si>
    <t>093520</t>
  </si>
  <si>
    <t>매커스</t>
  </si>
  <si>
    <t>₩520,260,369</t>
  </si>
  <si>
    <t>₩132,860,616,240</t>
  </si>
  <si>
    <t>184230</t>
  </si>
  <si>
    <t>SGA솔루션즈</t>
  </si>
  <si>
    <t>₩272,525,010</t>
  </si>
  <si>
    <t>₩32,989,757,847</t>
  </si>
  <si>
    <t>065350</t>
  </si>
  <si>
    <t>신성델타테크</t>
  </si>
  <si>
    <t>₩10,571,383,424</t>
  </si>
  <si>
    <t>₩1,132,338,657,600</t>
  </si>
  <si>
    <t>018680</t>
  </si>
  <si>
    <t>서울제약</t>
  </si>
  <si>
    <t>₩732,789,410</t>
  </si>
  <si>
    <t>₩43,430,963,275</t>
  </si>
  <si>
    <t>001795</t>
  </si>
  <si>
    <t>대한제당우</t>
  </si>
  <si>
    <t>₩63,807,660</t>
  </si>
  <si>
    <t>₩15,720,693,000</t>
  </si>
  <si>
    <t>036830</t>
  </si>
  <si>
    <t>솔브레인홀딩스</t>
  </si>
  <si>
    <t>₩3,748,688,650</t>
  </si>
  <si>
    <t>₩905,647,219,200</t>
  </si>
  <si>
    <t>298060</t>
  </si>
  <si>
    <t>에스씨엠생명과학</t>
  </si>
  <si>
    <t>₩2,563,445,012</t>
  </si>
  <si>
    <t>₩47,791,024,080</t>
  </si>
  <si>
    <t>234080</t>
  </si>
  <si>
    <t>JW생명과학</t>
  </si>
  <si>
    <t>₩277,761,099</t>
  </si>
  <si>
    <t>₩179,405,496,820</t>
  </si>
  <si>
    <t>264660</t>
  </si>
  <si>
    <t>씨앤지하이테크</t>
  </si>
  <si>
    <t>₩212,377,696</t>
  </si>
  <si>
    <t>₩111,202,198,800</t>
  </si>
  <si>
    <t>073560</t>
  </si>
  <si>
    <t>우리손에프앤지</t>
  </si>
  <si>
    <t>₩179,592,706</t>
  </si>
  <si>
    <t>₩96,863,462,557</t>
  </si>
  <si>
    <t>018260</t>
  </si>
  <si>
    <t>삼성에스디에스</t>
  </si>
  <si>
    <t>₩19,401,668,105</t>
  </si>
  <si>
    <t>₩10,391,838,540,000</t>
  </si>
  <si>
    <t>084730</t>
  </si>
  <si>
    <t>팅크웨어</t>
  </si>
  <si>
    <t>₩302,999,287</t>
  </si>
  <si>
    <t>₩123,425,700,640</t>
  </si>
  <si>
    <t>101530</t>
  </si>
  <si>
    <t>해태제과식품</t>
  </si>
  <si>
    <t>₩878,766,243</t>
  </si>
  <si>
    <t>₩169,168,735,820</t>
  </si>
  <si>
    <t>001780</t>
  </si>
  <si>
    <t>알루코</t>
  </si>
  <si>
    <t>₩521,847,450</t>
  </si>
  <si>
    <t>₩220,772,700,960</t>
  </si>
  <si>
    <t>320000</t>
  </si>
  <si>
    <t>한울반도체</t>
  </si>
  <si>
    <t>₩640,664,383</t>
  </si>
  <si>
    <t>₩82,778,255,920</t>
  </si>
  <si>
    <t>126700</t>
  </si>
  <si>
    <t>하이비젼시스템</t>
  </si>
  <si>
    <t>₩12,390,485,684</t>
  </si>
  <si>
    <t>₩255,510,115,200</t>
  </si>
  <si>
    <t>030200</t>
  </si>
  <si>
    <t>KT</t>
  </si>
  <si>
    <t>₩39,755,254,376</t>
  </si>
  <si>
    <t>₩11,189,762,814,000</t>
  </si>
  <si>
    <t>115390</t>
  </si>
  <si>
    <t>락앤락</t>
  </si>
  <si>
    <t>₩85,811,683</t>
  </si>
  <si>
    <t>₩375,639,983,370</t>
  </si>
  <si>
    <t>009420</t>
  </si>
  <si>
    <t>한올바이오파마</t>
  </si>
  <si>
    <t>₩54,134,418,312</t>
  </si>
  <si>
    <t>₩2,416,129,507,500</t>
  </si>
  <si>
    <t>024070</t>
  </si>
  <si>
    <t>WISCOM</t>
  </si>
  <si>
    <t>₩37,121,329</t>
  </si>
  <si>
    <t>₩32,032,255,420</t>
  </si>
  <si>
    <t>052020</t>
  </si>
  <si>
    <t>에스티큐브</t>
  </si>
  <si>
    <t>₩1,718,272,902</t>
  </si>
  <si>
    <t>₩284,430,103,750</t>
  </si>
  <si>
    <t>003535</t>
  </si>
  <si>
    <t>한화투자증권우</t>
  </si>
  <si>
    <t>₩191,061,233</t>
  </si>
  <si>
    <t>₩39,984,000,000</t>
  </si>
  <si>
    <t>011150</t>
  </si>
  <si>
    <t>CJ씨푸드</t>
  </si>
  <si>
    <t>₩1,480,750,165</t>
  </si>
  <si>
    <t>₩107,971,972,865</t>
  </si>
  <si>
    <t>225190</t>
  </si>
  <si>
    <t>LK삼양</t>
  </si>
  <si>
    <t>₩37,960,155,805</t>
  </si>
  <si>
    <t>₩172,290,953,800</t>
  </si>
  <si>
    <t>388870</t>
  </si>
  <si>
    <t>파로스아이바이오</t>
  </si>
  <si>
    <t>₩1,994,456,814</t>
  </si>
  <si>
    <t>₩120,516,565,840</t>
  </si>
  <si>
    <t>105630</t>
  </si>
  <si>
    <t>한세실업</t>
  </si>
  <si>
    <t>₩1,230,962,463</t>
  </si>
  <si>
    <t>₩580,400,000,000</t>
  </si>
  <si>
    <t>376180</t>
  </si>
  <si>
    <t>피코그램</t>
  </si>
  <si>
    <t>₩5,327,876,546</t>
  </si>
  <si>
    <t>₩58,155,383,810</t>
  </si>
  <si>
    <t>115570</t>
  </si>
  <si>
    <t>스타플렉스</t>
  </si>
  <si>
    <t>₩53,214,945</t>
  </si>
  <si>
    <t>₩22,316,699,860</t>
  </si>
  <si>
    <t>142210</t>
  </si>
  <si>
    <t>유니트론텍</t>
  </si>
  <si>
    <t>₩611,931,577</t>
  </si>
  <si>
    <t>₩98,732,451,960</t>
  </si>
  <si>
    <t>024850</t>
  </si>
  <si>
    <t>HLB이노베이션</t>
  </si>
  <si>
    <t>₩9,343,757,338</t>
  </si>
  <si>
    <t>₩268,205,227,920</t>
  </si>
  <si>
    <t>159580</t>
  </si>
  <si>
    <t>제로투세븐</t>
  </si>
  <si>
    <t>₩294,764,027</t>
  </si>
  <si>
    <t>₩85,739,682,080</t>
  </si>
  <si>
    <t>041020</t>
  </si>
  <si>
    <t>폴라리스오피스</t>
  </si>
  <si>
    <t>₩8,287,980,732</t>
  </si>
  <si>
    <t>₩252,605,529,840</t>
  </si>
  <si>
    <t>036640</t>
  </si>
  <si>
    <t>HRS</t>
  </si>
  <si>
    <t>₩229,372,416</t>
  </si>
  <si>
    <t>₩82,101,096,000</t>
  </si>
  <si>
    <t>007575</t>
  </si>
  <si>
    <t>일양약품우</t>
  </si>
  <si>
    <t>₩3,188,547</t>
  </si>
  <si>
    <t>₩5,149,575,600</t>
  </si>
  <si>
    <t>026040</t>
  </si>
  <si>
    <t>제이에스티나</t>
  </si>
  <si>
    <t>₩16,737,623</t>
  </si>
  <si>
    <t>₩30,482,500,130</t>
  </si>
  <si>
    <t>270660</t>
  </si>
  <si>
    <t>에브리봇</t>
  </si>
  <si>
    <t>₩991,791,687</t>
  </si>
  <si>
    <t>₩191,298,188,880</t>
  </si>
  <si>
    <t>092190</t>
  </si>
  <si>
    <t>서울바이오시스</t>
  </si>
  <si>
    <t>₩253,740,283</t>
  </si>
  <si>
    <t>₩160,309,998,585</t>
  </si>
  <si>
    <t>086710</t>
  </si>
  <si>
    <t>선진뷰티사이언스</t>
  </si>
  <si>
    <t>₩948,835,433</t>
  </si>
  <si>
    <t>₩119,348,078,400</t>
  </si>
  <si>
    <t>010580</t>
  </si>
  <si>
    <t>에스엠벡셀</t>
  </si>
  <si>
    <t>₩51,568,831</t>
  </si>
  <si>
    <t>₩132,389,594,400</t>
  </si>
  <si>
    <t>049550</t>
  </si>
  <si>
    <t>잉크테크</t>
  </si>
  <si>
    <t>₩50,503,356</t>
  </si>
  <si>
    <t>₩74,307,789,830</t>
  </si>
  <si>
    <t>043370</t>
  </si>
  <si>
    <t>피에이치에이</t>
  </si>
  <si>
    <t>₩296,029,703</t>
  </si>
  <si>
    <t>₩206,220,000,000</t>
  </si>
  <si>
    <t>007690</t>
  </si>
  <si>
    <t>국도화학</t>
  </si>
  <si>
    <t>₩266,510,393</t>
  </si>
  <si>
    <t>₩286,537,588,800</t>
  </si>
  <si>
    <t>001820</t>
  </si>
  <si>
    <t>삼화콘덴서</t>
  </si>
  <si>
    <t>₩1,185,753,162</t>
  </si>
  <si>
    <t>₩317,047,500,000</t>
  </si>
  <si>
    <t>900260</t>
  </si>
  <si>
    <t>로스웰</t>
  </si>
  <si>
    <t>₩32,683,686</t>
  </si>
  <si>
    <t>₩23,168,118,184</t>
  </si>
  <si>
    <t>004440</t>
  </si>
  <si>
    <t>삼일씨엔에스</t>
  </si>
  <si>
    <t>₩58,931,073</t>
  </si>
  <si>
    <t>₩51,437,065,880</t>
  </si>
  <si>
    <t>03473K</t>
  </si>
  <si>
    <t>SK우</t>
  </si>
  <si>
    <t>₩234,172,319</t>
  </si>
  <si>
    <t>₩69,068,470,000</t>
  </si>
  <si>
    <t>207760</t>
  </si>
  <si>
    <t>미스터블루</t>
  </si>
  <si>
    <t>₩1,926,220,000</t>
  </si>
  <si>
    <t>₩108,585,276,381</t>
  </si>
  <si>
    <t>408920</t>
  </si>
  <si>
    <t>메쎄이상</t>
  </si>
  <si>
    <t>₩46,117,051</t>
  </si>
  <si>
    <t>₩89,058,857,300</t>
  </si>
  <si>
    <t>080000</t>
  </si>
  <si>
    <t>에스엔유</t>
  </si>
  <si>
    <t>₩377,914,839</t>
  </si>
  <si>
    <t>₩60,511,219,810</t>
  </si>
  <si>
    <t>005940</t>
  </si>
  <si>
    <t>NH투자증권</t>
  </si>
  <si>
    <t>₩6,179,833,040</t>
  </si>
  <si>
    <t>₩4,473,544,804,340</t>
  </si>
  <si>
    <t>003520</t>
  </si>
  <si>
    <t>영진약품</t>
  </si>
  <si>
    <t>₩659,724,015</t>
  </si>
  <si>
    <t>₩396,877,226,270</t>
  </si>
  <si>
    <t>442770</t>
  </si>
  <si>
    <t>IBKS제21호스팩</t>
  </si>
  <si>
    <t>₩13,890,226</t>
  </si>
  <si>
    <t>₩9,219,900,000</t>
  </si>
  <si>
    <t>018620</t>
  </si>
  <si>
    <t>우진비앤지</t>
  </si>
  <si>
    <t>₩66,125,137</t>
  </si>
  <si>
    <t>₩28,889,293,000</t>
  </si>
  <si>
    <t>070960</t>
  </si>
  <si>
    <t>모나용평</t>
  </si>
  <si>
    <t>₩635,813,877</t>
  </si>
  <si>
    <t>₩162,690,665,540</t>
  </si>
  <si>
    <t>183490</t>
  </si>
  <si>
    <t>엔지켐생명과학</t>
  </si>
  <si>
    <t>₩488,780,032</t>
  </si>
  <si>
    <t>₩118,326,196,742</t>
  </si>
  <si>
    <t>360350</t>
  </si>
  <si>
    <t>코셈</t>
  </si>
  <si>
    <t>₩247,402,170</t>
  </si>
  <si>
    <t>₩40,327,706,700</t>
  </si>
  <si>
    <t>214320</t>
  </si>
  <si>
    <t>이노션</t>
  </si>
  <si>
    <t>₩618,550,371</t>
  </si>
  <si>
    <t>₩808,000,000,000</t>
  </si>
  <si>
    <t>025320</t>
  </si>
  <si>
    <t>시노펙스</t>
  </si>
  <si>
    <t>₩6,143,354,966</t>
  </si>
  <si>
    <t>₩590,916,448,800</t>
  </si>
  <si>
    <t>031310</t>
  </si>
  <si>
    <t>아이즈비전</t>
  </si>
  <si>
    <t>₩151,640,928</t>
  </si>
  <si>
    <t>₩47,426,438,592</t>
  </si>
  <si>
    <t>063080</t>
  </si>
  <si>
    <t>컴투스홀딩스</t>
  </si>
  <si>
    <t>₩810,387,386</t>
  </si>
  <si>
    <t>₩143,445,426,000</t>
  </si>
  <si>
    <t>248170</t>
  </si>
  <si>
    <t>샘표식품</t>
  </si>
  <si>
    <t>₩823,007,779</t>
  </si>
  <si>
    <t>₩127,226,765,100</t>
  </si>
  <si>
    <t>228670</t>
  </si>
  <si>
    <t>레이</t>
  </si>
  <si>
    <t>₩487,672,780</t>
  </si>
  <si>
    <t>₩119,778,313,420</t>
  </si>
  <si>
    <t>454750</t>
  </si>
  <si>
    <t>하나28호스팩</t>
  </si>
  <si>
    <t>₩12,910,224</t>
  </si>
  <si>
    <t>₩14,872,130,000</t>
  </si>
  <si>
    <t>378850</t>
  </si>
  <si>
    <t>화승알앤에이</t>
  </si>
  <si>
    <t>₩1,470,851,438</t>
  </si>
  <si>
    <t>₩69,706,596,410</t>
  </si>
  <si>
    <t>204320</t>
  </si>
  <si>
    <t>HL만도</t>
  </si>
  <si>
    <t>₩9,744,814,550</t>
  </si>
  <si>
    <t>₩1,857,154,096,000</t>
  </si>
  <si>
    <t>067170</t>
  </si>
  <si>
    <t>오텍</t>
  </si>
  <si>
    <t>₩251,972,507</t>
  </si>
  <si>
    <t>₩57,872,434,800</t>
  </si>
  <si>
    <t>083790</t>
  </si>
  <si>
    <t>CG인바이츠</t>
  </si>
  <si>
    <t>₩790,763,613</t>
  </si>
  <si>
    <t>₩208,383,233,220</t>
  </si>
  <si>
    <t>064820</t>
  </si>
  <si>
    <t>케이프</t>
  </si>
  <si>
    <t>₩356,121,730</t>
  </si>
  <si>
    <t>₩166,560,313,920</t>
  </si>
  <si>
    <t>036540</t>
  </si>
  <si>
    <t>SFA반도체</t>
  </si>
  <si>
    <t>₩1,370,900,182</t>
  </si>
  <si>
    <t>₩550,119,713,535</t>
  </si>
  <si>
    <t>000040</t>
  </si>
  <si>
    <t>KR모터스</t>
  </si>
  <si>
    <t>₩80,234,126</t>
  </si>
  <si>
    <t>₩30,848,161,284</t>
  </si>
  <si>
    <t>103140</t>
  </si>
  <si>
    <t>풍산</t>
  </si>
  <si>
    <t>₩26,653,229,090</t>
  </si>
  <si>
    <t>₩1,757,122,230,600</t>
  </si>
  <si>
    <t>017810</t>
  </si>
  <si>
    <t>풀무원</t>
  </si>
  <si>
    <t>₩687,634,320</t>
  </si>
  <si>
    <t>₩385,017,474,200</t>
  </si>
  <si>
    <t>252500</t>
  </si>
  <si>
    <t>세화피앤씨</t>
  </si>
  <si>
    <t>₩124,831,919</t>
  </si>
  <si>
    <t>₩36,964,373,490</t>
  </si>
  <si>
    <t>000700</t>
  </si>
  <si>
    <t>유수홀딩스</t>
  </si>
  <si>
    <t>₩106,626,597</t>
  </si>
  <si>
    <t>₩131,771,568,720</t>
  </si>
  <si>
    <t>475250</t>
  </si>
  <si>
    <t>하나33호스팩</t>
  </si>
  <si>
    <t>₩7,745,265</t>
  </si>
  <si>
    <t>₩7,844,000,000</t>
  </si>
  <si>
    <t>001770</t>
  </si>
  <si>
    <t>SHD</t>
  </si>
  <si>
    <t>₩28,257,070</t>
  </si>
  <si>
    <t>₩20,592,182,100</t>
  </si>
  <si>
    <t>440790</t>
  </si>
  <si>
    <t>교보13호스팩</t>
  </si>
  <si>
    <t>₩7,090,769</t>
  </si>
  <si>
    <t>₩8,849,250,000</t>
  </si>
  <si>
    <t>078935</t>
  </si>
  <si>
    <t>GS우</t>
  </si>
  <si>
    <t>₩446,487,607</t>
  </si>
  <si>
    <t>₩68,805,042,300</t>
  </si>
  <si>
    <t>344820</t>
  </si>
  <si>
    <t>KCC글라스</t>
  </si>
  <si>
    <t>₩623,997,350</t>
  </si>
  <si>
    <t>₩618,857,340,000</t>
  </si>
  <si>
    <t>011780</t>
  </si>
  <si>
    <t>금호석유</t>
  </si>
  <si>
    <t>₩15,262,721,876</t>
  </si>
  <si>
    <t>₩3,088,808,331,000</t>
  </si>
  <si>
    <t>072770</t>
  </si>
  <si>
    <t>율호</t>
  </si>
  <si>
    <t>₩546,233,552</t>
  </si>
  <si>
    <t>₩124,813,359,588</t>
  </si>
  <si>
    <t>082740</t>
  </si>
  <si>
    <t>한화엔진</t>
  </si>
  <si>
    <t>₩12,134,568,125</t>
  </si>
  <si>
    <t>₩1,367,698,657,380</t>
  </si>
  <si>
    <t>054930</t>
  </si>
  <si>
    <t>유신</t>
  </si>
  <si>
    <t>₩594,093,671</t>
  </si>
  <si>
    <t>₩74,700,000,000</t>
  </si>
  <si>
    <t>336260</t>
  </si>
  <si>
    <t>두산퓨얼셀</t>
  </si>
  <si>
    <t>₩3,566,055,790</t>
  </si>
  <si>
    <t>₩1,052,484,176,820</t>
  </si>
  <si>
    <t>199800</t>
  </si>
  <si>
    <t>툴젠</t>
  </si>
  <si>
    <t>₩2,338,504,910</t>
  </si>
  <si>
    <t>₩432,307,443,200</t>
  </si>
  <si>
    <t>007810</t>
  </si>
  <si>
    <t>코리아써키트</t>
  </si>
  <si>
    <t>₩849,449,530</t>
  </si>
  <si>
    <t>₩217,310,909,200</t>
  </si>
  <si>
    <t>107640</t>
  </si>
  <si>
    <t>한중엔시에스</t>
  </si>
  <si>
    <t>₩8,432,444,029</t>
  </si>
  <si>
    <t>₩315,897,793,800</t>
  </si>
  <si>
    <t>144960</t>
  </si>
  <si>
    <t>뉴파워프라즈마</t>
  </si>
  <si>
    <t>₩412,613,595</t>
  </si>
  <si>
    <t>₩219,773,898,720</t>
  </si>
  <si>
    <t>002290</t>
  </si>
  <si>
    <t>삼일기업공사</t>
  </si>
  <si>
    <t>₩35,423,300</t>
  </si>
  <si>
    <t>₩35,464,000,000</t>
  </si>
  <si>
    <t>131090</t>
  </si>
  <si>
    <t>시큐브</t>
  </si>
  <si>
    <t>₩33,679,863</t>
  </si>
  <si>
    <t>₩39,380,000,000</t>
  </si>
  <si>
    <t>050960</t>
  </si>
  <si>
    <t>수산아이앤티</t>
  </si>
  <si>
    <t>₩73,161,461</t>
  </si>
  <si>
    <t>₩65,012,130,000</t>
  </si>
  <si>
    <t>264850</t>
  </si>
  <si>
    <t>이랜시스</t>
  </si>
  <si>
    <t>₩3,553,569,780</t>
  </si>
  <si>
    <t>₩156,320,197,920</t>
  </si>
  <si>
    <t>089010</t>
  </si>
  <si>
    <t>켐트로닉스</t>
  </si>
  <si>
    <t>₩2,386,721,351</t>
  </si>
  <si>
    <t>₩274,178,106,480</t>
  </si>
  <si>
    <t>133820</t>
  </si>
  <si>
    <t>화인베스틸</t>
  </si>
  <si>
    <t>₩222,845,954</t>
  </si>
  <si>
    <t>₩33,261,381,322</t>
  </si>
  <si>
    <t>102260</t>
  </si>
  <si>
    <t>동성케미컬</t>
  </si>
  <si>
    <t>₩192,694,132</t>
  </si>
  <si>
    <t>₩211,429,792,640</t>
  </si>
  <si>
    <t>058970</t>
  </si>
  <si>
    <t>엠로</t>
  </si>
  <si>
    <t>₩8,015,090,595</t>
  </si>
  <si>
    <t>₩729,003,657,000</t>
  </si>
  <si>
    <t>017390</t>
  </si>
  <si>
    <t>서울가스</t>
  </si>
  <si>
    <t>₩130,807,481</t>
  </si>
  <si>
    <t>₩260,000,000,000</t>
  </si>
  <si>
    <t>263750</t>
  </si>
  <si>
    <t>펄어비스</t>
  </si>
  <si>
    <t>₩7,747,248,798</t>
  </si>
  <si>
    <t>₩2,457,480,453,750</t>
  </si>
  <si>
    <t>005860</t>
  </si>
  <si>
    <t>한일사료</t>
  </si>
  <si>
    <t>₩6,339,990,097</t>
  </si>
  <si>
    <t>₩153,871,389,925</t>
  </si>
  <si>
    <t>000230</t>
  </si>
  <si>
    <t>일동홀딩스</t>
  </si>
  <si>
    <t>₩108,882,567</t>
  </si>
  <si>
    <t>₩84,360,324,000</t>
  </si>
  <si>
    <t>251120</t>
  </si>
  <si>
    <t>바이오에프디엔씨</t>
  </si>
  <si>
    <t>₩956,637,783</t>
  </si>
  <si>
    <t>₩131,392,027,000</t>
  </si>
  <si>
    <t>014470</t>
  </si>
  <si>
    <t>부방</t>
  </si>
  <si>
    <t>₩138,144,327</t>
  </si>
  <si>
    <t>₩96,083,616,000</t>
  </si>
  <si>
    <t>000070</t>
  </si>
  <si>
    <t>삼양홀딩스</t>
  </si>
  <si>
    <t>₩630,478,505</t>
  </si>
  <si>
    <t>₩594,360,407,400</t>
  </si>
  <si>
    <t>139990</t>
  </si>
  <si>
    <t>아주스틸</t>
  </si>
  <si>
    <t>₩72,375,739</t>
  </si>
  <si>
    <t>₩136,036,026,720</t>
  </si>
  <si>
    <t>115160</t>
  </si>
  <si>
    <t>휴맥스</t>
  </si>
  <si>
    <t>₩108,422,254</t>
  </si>
  <si>
    <t>₩73,034,375,964</t>
  </si>
  <si>
    <t>000880</t>
  </si>
  <si>
    <t>한화</t>
  </si>
  <si>
    <t>₩4,248,161,510</t>
  </si>
  <si>
    <t>₩2,170,055,378,250</t>
  </si>
  <si>
    <t>156100</t>
  </si>
  <si>
    <t>엘앤케이바이오</t>
  </si>
  <si>
    <t>₩3,172,251,895</t>
  </si>
  <si>
    <t>₩141,550,875,300</t>
  </si>
  <si>
    <t>033290</t>
  </si>
  <si>
    <t>코웰패션</t>
  </si>
  <si>
    <t>₩503,990,238</t>
  </si>
  <si>
    <t>₩119,051,358,120</t>
  </si>
  <si>
    <t>417310</t>
  </si>
  <si>
    <t>코람코더원리츠</t>
  </si>
  <si>
    <t>₩174,918,233</t>
  </si>
  <si>
    <t>₩178,164,000,000</t>
  </si>
  <si>
    <t>272550</t>
  </si>
  <si>
    <t>삼양패키징</t>
  </si>
  <si>
    <t>₩238,571,876</t>
  </si>
  <si>
    <t>₩266,354,879,770</t>
  </si>
  <si>
    <t>005690</t>
  </si>
  <si>
    <t>파미셀</t>
  </si>
  <si>
    <t>₩1,911,667,564</t>
  </si>
  <si>
    <t>₩305,486,346,760</t>
  </si>
  <si>
    <t>050890</t>
  </si>
  <si>
    <t>쏠리드</t>
  </si>
  <si>
    <t>₩3,645,112,858</t>
  </si>
  <si>
    <t>₩305,476,155,000</t>
  </si>
  <si>
    <t>004430</t>
  </si>
  <si>
    <t>송원산업</t>
  </si>
  <si>
    <t>₩1,523,106,823</t>
  </si>
  <si>
    <t>₩297,120,000,000</t>
  </si>
  <si>
    <t>035760</t>
  </si>
  <si>
    <t>CJ ENM</t>
  </si>
  <si>
    <t>₩4,713,578,248</t>
  </si>
  <si>
    <t>₩1,195,138,893,000</t>
  </si>
  <si>
    <t>058470</t>
  </si>
  <si>
    <t>리노공업</t>
  </si>
  <si>
    <t>₩13,676,959,919</t>
  </si>
  <si>
    <t>₩2,563,766,634,000</t>
  </si>
  <si>
    <t>109960</t>
  </si>
  <si>
    <t>AP헬스케어</t>
  </si>
  <si>
    <t>₩101,811,371</t>
  </si>
  <si>
    <t>₩59,017,188,373</t>
  </si>
  <si>
    <t>215600</t>
  </si>
  <si>
    <t>신라젠</t>
  </si>
  <si>
    <t>₩1,677,209,985</t>
  </si>
  <si>
    <t>₩358,528,196,250</t>
  </si>
  <si>
    <t>033100</t>
  </si>
  <si>
    <t>제룡전기</t>
  </si>
  <si>
    <t>₩23,845,715,686</t>
  </si>
  <si>
    <t>₩877,007,531,400</t>
  </si>
  <si>
    <t>066700</t>
  </si>
  <si>
    <t>테라젠이텍스</t>
  </si>
  <si>
    <t>₩1,774,617,612</t>
  </si>
  <si>
    <t>₩110,088,334,650</t>
  </si>
  <si>
    <t>198940</t>
  </si>
  <si>
    <t>한주라이트메탈</t>
  </si>
  <si>
    <t>₩195,712,648</t>
  </si>
  <si>
    <t>₩36,782,214,210</t>
  </si>
  <si>
    <t>071055</t>
  </si>
  <si>
    <t>한국금융지주우</t>
  </si>
  <si>
    <t>₩607,236,552</t>
  </si>
  <si>
    <t>₩318,103,029,300</t>
  </si>
  <si>
    <t>002200</t>
  </si>
  <si>
    <t>한국수출포장</t>
  </si>
  <si>
    <t>₩213,249,172</t>
  </si>
  <si>
    <t>₩108,400,000,000</t>
  </si>
  <si>
    <t>163560</t>
  </si>
  <si>
    <t>동일고무벨트</t>
  </si>
  <si>
    <t>₩3,172,477,287</t>
  </si>
  <si>
    <t>₩109,254,000,000</t>
  </si>
  <si>
    <t>009580</t>
  </si>
  <si>
    <t>무림P&amp;P</t>
  </si>
  <si>
    <t>₩270,577,408</t>
  </si>
  <si>
    <t>₩165,276,058,600</t>
  </si>
  <si>
    <t>002787</t>
  </si>
  <si>
    <t>진흥기업2우B</t>
  </si>
  <si>
    <t>₩2,185,751</t>
  </si>
  <si>
    <t>₩3,390,292,000</t>
  </si>
  <si>
    <t>375500</t>
  </si>
  <si>
    <t>DL이앤씨</t>
  </si>
  <si>
    <t>₩4,869,039,455</t>
  </si>
  <si>
    <t>₩1,170,482,095,750</t>
  </si>
  <si>
    <t>303030</t>
  </si>
  <si>
    <t>지니틱스</t>
  </si>
  <si>
    <t>₩100,149,547</t>
  </si>
  <si>
    <t>₩38,033,390,752</t>
  </si>
  <si>
    <t>013520</t>
  </si>
  <si>
    <t>화승코퍼레이션</t>
  </si>
  <si>
    <t>₩79,624,324</t>
  </si>
  <si>
    <t>₩92,094,303,680</t>
  </si>
  <si>
    <t>362990</t>
  </si>
  <si>
    <t>드림인사이트</t>
  </si>
  <si>
    <t>₩1,629,320,170</t>
  </si>
  <si>
    <t>₩32,509,110,690</t>
  </si>
  <si>
    <t>138080</t>
  </si>
  <si>
    <t>오이솔루션</t>
  </si>
  <si>
    <t>₩163,126,194</t>
  </si>
  <si>
    <t>₩114,846,466,950</t>
  </si>
  <si>
    <t>003550</t>
  </si>
  <si>
    <t>LG</t>
  </si>
  <si>
    <t>₩8,708,731,414</t>
  </si>
  <si>
    <t>₩11,781,844,375,700</t>
  </si>
  <si>
    <t>189980</t>
  </si>
  <si>
    <t>흥국에프엔비</t>
  </si>
  <si>
    <t>₩129,760,386</t>
  </si>
  <si>
    <t>₩70,722,851,174</t>
  </si>
  <si>
    <t>354200</t>
  </si>
  <si>
    <t>엔젠바이오</t>
  </si>
  <si>
    <t>₩2,002,595,188</t>
  </si>
  <si>
    <t>₩34,483,594,840</t>
  </si>
  <si>
    <t>016610</t>
  </si>
  <si>
    <t>DB금융투자</t>
  </si>
  <si>
    <t>₩675,951,086</t>
  </si>
  <si>
    <t>₩219,447,831,130</t>
  </si>
  <si>
    <t>330350</t>
  </si>
  <si>
    <t>위더스제약</t>
  </si>
  <si>
    <t>₩447,144,852</t>
  </si>
  <si>
    <t>₩91,226,780,490</t>
  </si>
  <si>
    <t>028260</t>
  </si>
  <si>
    <t>삼성물산</t>
  </si>
  <si>
    <t>₩35,491,693,524</t>
  </si>
  <si>
    <t>₩21,565,212,179,100</t>
  </si>
  <si>
    <t>228850</t>
  </si>
  <si>
    <t>레이언스</t>
  </si>
  <si>
    <t>₩217,569,955</t>
  </si>
  <si>
    <t>₩113,150,715,480</t>
  </si>
  <si>
    <t>206560</t>
  </si>
  <si>
    <t>덱스터</t>
  </si>
  <si>
    <t>₩2,922,018,642</t>
  </si>
  <si>
    <t>₩198,973,892,880</t>
  </si>
  <si>
    <t>271940</t>
  </si>
  <si>
    <t>일진하이솔루스</t>
  </si>
  <si>
    <t>₩409,618,997</t>
  </si>
  <si>
    <t>₩706,654,677,400</t>
  </si>
  <si>
    <t>36328K</t>
  </si>
  <si>
    <t>티와이홀딩스우</t>
  </si>
  <si>
    <t>₩980,929,414</t>
  </si>
  <si>
    <t>₩5,550,057,510</t>
  </si>
  <si>
    <t>378340</t>
  </si>
  <si>
    <t>필에너지</t>
  </si>
  <si>
    <t>₩5,533,631,770</t>
  </si>
  <si>
    <t>₩389,531,640,600</t>
  </si>
  <si>
    <t>000120</t>
  </si>
  <si>
    <t>CJ대한통운</t>
  </si>
  <si>
    <t>₩6,249,501,743</t>
  </si>
  <si>
    <t>₩1,895,705,786,400</t>
  </si>
  <si>
    <t>335870</t>
  </si>
  <si>
    <t>윙스풋</t>
  </si>
  <si>
    <t>₩445,224,925</t>
  </si>
  <si>
    <t>₩28,341,735,978</t>
  </si>
  <si>
    <t>100840</t>
  </si>
  <si>
    <t>SNT에너지</t>
  </si>
  <si>
    <t>₩2,287,904,861</t>
  </si>
  <si>
    <t>₩304,421,125,760</t>
  </si>
  <si>
    <t>241520</t>
  </si>
  <si>
    <t>DSC인베스트먼트</t>
  </si>
  <si>
    <t>₩150,500,183</t>
  </si>
  <si>
    <t>₩79,326,320,625</t>
  </si>
  <si>
    <t>054950</t>
  </si>
  <si>
    <t>제이브이엠</t>
  </si>
  <si>
    <t>₩1,563,489,098</t>
  </si>
  <si>
    <t>₩228,257,160,960</t>
  </si>
  <si>
    <t>054220</t>
  </si>
  <si>
    <t>비츠로시스</t>
  </si>
  <si>
    <t>₩70,438,706</t>
  </si>
  <si>
    <t>₩23,892,051,114</t>
  </si>
  <si>
    <t>000680</t>
  </si>
  <si>
    <t>LS네트웍스</t>
  </si>
  <si>
    <t>₩307,458,275</t>
  </si>
  <si>
    <t>₩254,927,756,760</t>
  </si>
  <si>
    <t>021080</t>
  </si>
  <si>
    <t>에이티넘인베스트</t>
  </si>
  <si>
    <t>₩2,244,161,224</t>
  </si>
  <si>
    <t>₩130,560,000,000</t>
  </si>
  <si>
    <t>00088K</t>
  </si>
  <si>
    <t>한화3우B</t>
  </si>
  <si>
    <t>₩386,152,977</t>
  </si>
  <si>
    <t>₩344,495,760,000</t>
  </si>
  <si>
    <t>222080</t>
  </si>
  <si>
    <t>씨아이에스</t>
  </si>
  <si>
    <t>₩25,446,058,521</t>
  </si>
  <si>
    <t>₩683,580,486,310</t>
  </si>
  <si>
    <t>060370</t>
  </si>
  <si>
    <t>LS마린솔루션</t>
  </si>
  <si>
    <t>₩2,725,420,667</t>
  </si>
  <si>
    <t>₩454,423,759,140</t>
  </si>
  <si>
    <t>027710</t>
  </si>
  <si>
    <t>팜스토리</t>
  </si>
  <si>
    <t>₩1,212,072,782</t>
  </si>
  <si>
    <t>₩139,159,333,400</t>
  </si>
  <si>
    <t>026960</t>
  </si>
  <si>
    <t>동서</t>
  </si>
  <si>
    <t>₩33,230,877,692</t>
  </si>
  <si>
    <t>₩2,582,230,000,000</t>
  </si>
  <si>
    <t>122640</t>
  </si>
  <si>
    <t>예스티</t>
  </si>
  <si>
    <t>₩14,018,581,493</t>
  </si>
  <si>
    <t>₩194,650,004,400</t>
  </si>
  <si>
    <t>389140</t>
  </si>
  <si>
    <t>포바이포</t>
  </si>
  <si>
    <t>₩689,361,198</t>
  </si>
  <si>
    <t>₩61,897,933,950</t>
  </si>
  <si>
    <t>078600</t>
  </si>
  <si>
    <t>대주전자재료</t>
  </si>
  <si>
    <t>₩20,177,844,414</t>
  </si>
  <si>
    <t>₩1,408,733,963,000</t>
  </si>
  <si>
    <t>036190</t>
  </si>
  <si>
    <t>금화피에스시</t>
  </si>
  <si>
    <t>₩103,027,162</t>
  </si>
  <si>
    <t>₩167,400,000,000</t>
  </si>
  <si>
    <t>053270</t>
  </si>
  <si>
    <t>구영테크</t>
  </si>
  <si>
    <t>₩745,170,485</t>
  </si>
  <si>
    <t>₩60,028,786,950</t>
  </si>
  <si>
    <t>039130</t>
  </si>
  <si>
    <t>하나투어</t>
  </si>
  <si>
    <t>₩5,113,101,188</t>
  </si>
  <si>
    <t>₩798,751,413,000</t>
  </si>
  <si>
    <t>114190</t>
  </si>
  <si>
    <t>강원에너지</t>
  </si>
  <si>
    <t>₩1,311,006,776</t>
  </si>
  <si>
    <t>₩293,884,177,500</t>
  </si>
  <si>
    <t>183300</t>
  </si>
  <si>
    <t>코미코</t>
  </si>
  <si>
    <t>₩3,822,477,276</t>
  </si>
  <si>
    <t>₩474,392,019,400</t>
  </si>
  <si>
    <t>000545</t>
  </si>
  <si>
    <t>흥국화재우</t>
  </si>
  <si>
    <t>₩5,890,389</t>
  </si>
  <si>
    <t>₩3,840,000,000</t>
  </si>
  <si>
    <t>084990</t>
  </si>
  <si>
    <t>헬릭스미스</t>
  </si>
  <si>
    <t>₩652,446,075</t>
  </si>
  <si>
    <t>₩155,793,653,860</t>
  </si>
  <si>
    <t>000540</t>
  </si>
  <si>
    <t>흥국화재</t>
  </si>
  <si>
    <t>₩75,759,379</t>
  </si>
  <si>
    <t>₩217,461,353,325</t>
  </si>
  <si>
    <t>175250</t>
  </si>
  <si>
    <t>아이큐어</t>
  </si>
  <si>
    <t>₩3,689,326,436</t>
  </si>
  <si>
    <t>₩81,313,866,720</t>
  </si>
  <si>
    <t>086450</t>
  </si>
  <si>
    <t>동국제약</t>
  </si>
  <si>
    <t>₩2,630,082,777</t>
  </si>
  <si>
    <t>₩762,489,000,000</t>
  </si>
  <si>
    <t>170920</t>
  </si>
  <si>
    <t>엘티씨</t>
  </si>
  <si>
    <t>₩679,159,605</t>
  </si>
  <si>
    <t>₩111,195,730,800</t>
  </si>
  <si>
    <t>267250</t>
  </si>
  <si>
    <t>HD현대</t>
  </si>
  <si>
    <t>₩12,965,121,833</t>
  </si>
  <si>
    <t>₩5,956,078,609,000</t>
  </si>
  <si>
    <t>474930</t>
  </si>
  <si>
    <t>신한제13호스팩</t>
  </si>
  <si>
    <t>₩10,240,103</t>
  </si>
  <si>
    <t>₩7,783,000,000</t>
  </si>
  <si>
    <t>009180</t>
  </si>
  <si>
    <t>한솔로지스틱스</t>
  </si>
  <si>
    <t>₩146,288,355</t>
  </si>
  <si>
    <t>₩63,350,606,250</t>
  </si>
  <si>
    <t>003570</t>
  </si>
  <si>
    <t>SNT다이내믹스</t>
  </si>
  <si>
    <t>₩4,778,515,121</t>
  </si>
  <si>
    <t>₩876,208,565,950</t>
  </si>
  <si>
    <t>024060</t>
  </si>
  <si>
    <t>흥구석유</t>
  </si>
  <si>
    <t>₩21,516,156,574</t>
  </si>
  <si>
    <t>₩233,100,000,000</t>
  </si>
  <si>
    <t>030610</t>
  </si>
  <si>
    <t>교보증권</t>
  </si>
  <si>
    <t>₩159,847,851</t>
  </si>
  <si>
    <t>₩605,143,322,910</t>
  </si>
  <si>
    <t>260660</t>
  </si>
  <si>
    <t>알리코제약</t>
  </si>
  <si>
    <t>₩882,497,988</t>
  </si>
  <si>
    <t>₩55,790,356,440</t>
  </si>
  <si>
    <t>066590</t>
  </si>
  <si>
    <t>우수AMS</t>
  </si>
  <si>
    <t>₩550,893,634</t>
  </si>
  <si>
    <t>₩116,828,580,960</t>
  </si>
  <si>
    <t>000910</t>
  </si>
  <si>
    <t>유니온</t>
  </si>
  <si>
    <t>₩3,349,867,382</t>
  </si>
  <si>
    <t>₩70,252,285,500</t>
  </si>
  <si>
    <t>077500</t>
  </si>
  <si>
    <t>유니퀘스트</t>
  </si>
  <si>
    <t>₩419,946,410</t>
  </si>
  <si>
    <t>₩103,848,481,475</t>
  </si>
  <si>
    <t>010660</t>
  </si>
  <si>
    <t>화천기계</t>
  </si>
  <si>
    <t>₩836,351,187</t>
  </si>
  <si>
    <t>₩64,790,000,000</t>
  </si>
  <si>
    <t>045660</t>
  </si>
  <si>
    <t>에이텍</t>
  </si>
  <si>
    <t>₩1,741,323,909</t>
  </si>
  <si>
    <t>₩139,841,800,000</t>
  </si>
  <si>
    <t>030520</t>
  </si>
  <si>
    <t>한글과컴퓨터</t>
  </si>
  <si>
    <t>₩9,225,111,980</t>
  </si>
  <si>
    <t>₩462,074,907,840</t>
  </si>
  <si>
    <t>265560</t>
  </si>
  <si>
    <t>영화테크</t>
  </si>
  <si>
    <t>₩116,079,846</t>
  </si>
  <si>
    <t>₩87,124,967,000</t>
  </si>
  <si>
    <t>006040</t>
  </si>
  <si>
    <t>동원산업</t>
  </si>
  <si>
    <t>₩650,272,655</t>
  </si>
  <si>
    <t>₩1,237,352,093,250</t>
  </si>
  <si>
    <t>030350</t>
  </si>
  <si>
    <t>드래곤플라이</t>
  </si>
  <si>
    <t>₩124,142,542</t>
  </si>
  <si>
    <t>₩16,445,186,601</t>
  </si>
  <si>
    <t>205470</t>
  </si>
  <si>
    <t>휴마시스</t>
  </si>
  <si>
    <t>₩24,492,372,106</t>
  </si>
  <si>
    <t>₩234,039,391,281</t>
  </si>
  <si>
    <t>085660</t>
  </si>
  <si>
    <t>차바이오텍</t>
  </si>
  <si>
    <t>₩4,653,421,852</t>
  </si>
  <si>
    <t>₩906,099,387,870</t>
  </si>
  <si>
    <t>03481K</t>
  </si>
  <si>
    <t>해성산업1우</t>
  </si>
  <si>
    <t>₩14,150,904</t>
  </si>
  <si>
    <t>₩10,250,244,360</t>
  </si>
  <si>
    <t>001020</t>
  </si>
  <si>
    <t>페이퍼코리아</t>
  </si>
  <si>
    <t>₩388,130,485</t>
  </si>
  <si>
    <t>₩138,115,050,888</t>
  </si>
  <si>
    <t>328380</t>
  </si>
  <si>
    <t>솔트웨어</t>
  </si>
  <si>
    <t>₩3,041,059,373</t>
  </si>
  <si>
    <t>₩34,331,303,556</t>
  </si>
  <si>
    <t>088350</t>
  </si>
  <si>
    <t>한화생명</t>
  </si>
  <si>
    <t>₩2,832,001,743</t>
  </si>
  <si>
    <t>₩2,492,681,100,000</t>
  </si>
  <si>
    <t>037710</t>
  </si>
  <si>
    <t>광주신세계</t>
  </si>
  <si>
    <t>₩64,536,167</t>
  </si>
  <si>
    <t>₩234,339,245,500</t>
  </si>
  <si>
    <t>010400</t>
  </si>
  <si>
    <t>우진아이엔에스</t>
  </si>
  <si>
    <t>₩6,293,011</t>
  </si>
  <si>
    <t>₩25,381,260,000</t>
  </si>
  <si>
    <t>053450</t>
  </si>
  <si>
    <t>세코닉스</t>
  </si>
  <si>
    <t>₩593,460,932</t>
  </si>
  <si>
    <t>₩81,212,488,470</t>
  </si>
  <si>
    <t>004540</t>
  </si>
  <si>
    <t>깨끗한나라</t>
  </si>
  <si>
    <t>₩84,727,485</t>
  </si>
  <si>
    <t>₩74,853,792,930</t>
  </si>
  <si>
    <t>037440</t>
  </si>
  <si>
    <t>희림</t>
  </si>
  <si>
    <t>₩1,684,840,079</t>
  </si>
  <si>
    <t>₩68,568,189,375</t>
  </si>
  <si>
    <t>016600</t>
  </si>
  <si>
    <t>큐캐피탈</t>
  </si>
  <si>
    <t>₩72,250,526</t>
  </si>
  <si>
    <t>₩48,483,214,464</t>
  </si>
  <si>
    <t>382480</t>
  </si>
  <si>
    <t>지아이텍</t>
  </si>
  <si>
    <t>₩204,033,574</t>
  </si>
  <si>
    <t>₩85,995,350,900</t>
  </si>
  <si>
    <t>240810</t>
  </si>
  <si>
    <t>원익IPS</t>
  </si>
  <si>
    <t>₩7,472,060,802</t>
  </si>
  <si>
    <t>₩1,187,830,404,200</t>
  </si>
  <si>
    <t>318160</t>
  </si>
  <si>
    <t>셀바이오휴먼텍</t>
  </si>
  <si>
    <t>₩1,029,927,903</t>
  </si>
  <si>
    <t>₩35,237,728,305</t>
  </si>
  <si>
    <t>060280</t>
  </si>
  <si>
    <t>큐렉소</t>
  </si>
  <si>
    <t>₩712,746,683</t>
  </si>
  <si>
    <t>₩262,975,936,000</t>
  </si>
  <si>
    <t>340810</t>
  </si>
  <si>
    <t>씨유박스</t>
  </si>
  <si>
    <t>₩691,954,365</t>
  </si>
  <si>
    <t>₩32,906,364,615</t>
  </si>
  <si>
    <t>009190</t>
  </si>
  <si>
    <t>대양금속</t>
  </si>
  <si>
    <t>₩764,201,049</t>
  </si>
  <si>
    <t>₩69,004,417,194</t>
  </si>
  <si>
    <t>950140</t>
  </si>
  <si>
    <t>잉글우드랩</t>
  </si>
  <si>
    <t>₩2,400,984,873</t>
  </si>
  <si>
    <t>₩171,658,362,240</t>
  </si>
  <si>
    <t>100090</t>
  </si>
  <si>
    <t>SK오션플랜트</t>
  </si>
  <si>
    <t>₩2,927,213,644</t>
  </si>
  <si>
    <t>₩851,232,267,840</t>
  </si>
  <si>
    <t>009150</t>
  </si>
  <si>
    <t>삼성전기</t>
  </si>
  <si>
    <t>₩32,509,348,986</t>
  </si>
  <si>
    <t>₩8,395,571,430,400</t>
  </si>
  <si>
    <t>448710</t>
  </si>
  <si>
    <t>코츠테크놀로지</t>
  </si>
  <si>
    <t>₩5,680,351,866</t>
  </si>
  <si>
    <t>₩105,129,504,150</t>
  </si>
  <si>
    <t>050110</t>
  </si>
  <si>
    <t>캠시스</t>
  </si>
  <si>
    <t>₩518,035,952</t>
  </si>
  <si>
    <t>₩77,146,203,310</t>
  </si>
  <si>
    <t>036170</t>
  </si>
  <si>
    <t>클라우드에어</t>
  </si>
  <si>
    <t>₩28,734,413</t>
  </si>
  <si>
    <t>₩52,283,513,352</t>
  </si>
  <si>
    <t>004490</t>
  </si>
  <si>
    <t>세방전지</t>
  </si>
  <si>
    <t>₩4,397,731,190</t>
  </si>
  <si>
    <t>₩987,000,000,000</t>
  </si>
  <si>
    <t>435380</t>
  </si>
  <si>
    <t>유안타제10호스팩</t>
  </si>
  <si>
    <t>₩33,908,412</t>
  </si>
  <si>
    <t>₩11,975,700,000</t>
  </si>
  <si>
    <t>009520</t>
  </si>
  <si>
    <t>포스코엠텍</t>
  </si>
  <si>
    <t>₩2,207,715,785</t>
  </si>
  <si>
    <t>₩628,804,815,300</t>
  </si>
  <si>
    <t>298020</t>
  </si>
  <si>
    <t>효성티앤씨</t>
  </si>
  <si>
    <t>₩6,463,879,476</t>
  </si>
  <si>
    <t>₩1,278,830,031,000</t>
  </si>
  <si>
    <t>079370</t>
  </si>
  <si>
    <t>제우스</t>
  </si>
  <si>
    <t>₩3,566,567,982</t>
  </si>
  <si>
    <t>₩397,637,811,800</t>
  </si>
  <si>
    <t>221800</t>
  </si>
  <si>
    <t>유투바이오</t>
  </si>
  <si>
    <t>₩2,846,234,787</t>
  </si>
  <si>
    <t>₩33,410,100,160</t>
  </si>
  <si>
    <t>007160</t>
  </si>
  <si>
    <t>사조산업</t>
  </si>
  <si>
    <t>₩6,185,729,814</t>
  </si>
  <si>
    <t>₩201,750,000,000</t>
  </si>
  <si>
    <t>093920</t>
  </si>
  <si>
    <t>서원인텍</t>
  </si>
  <si>
    <t>₩137,139,455</t>
  </si>
  <si>
    <t>₩106,206,000,000</t>
  </si>
  <si>
    <t>025980</t>
  </si>
  <si>
    <t>아난티</t>
  </si>
  <si>
    <t>₩4,182,896,096</t>
  </si>
  <si>
    <t>₩498,983,961,140</t>
  </si>
  <si>
    <t>051500</t>
  </si>
  <si>
    <t>CJ프레시웨이</t>
  </si>
  <si>
    <t>₩221,267,926</t>
  </si>
  <si>
    <t>₩205,853,301,240</t>
  </si>
  <si>
    <t>067830</t>
  </si>
  <si>
    <t>세이브존I&amp;C</t>
  </si>
  <si>
    <t>₩42,936,854</t>
  </si>
  <si>
    <t>₩85,980,675,025</t>
  </si>
  <si>
    <t>251270</t>
  </si>
  <si>
    <t>넷마블</t>
  </si>
  <si>
    <t>₩5,473,780,205</t>
  </si>
  <si>
    <t>₩4,349,247,201,200</t>
  </si>
  <si>
    <t>185490</t>
  </si>
  <si>
    <t>아이진</t>
  </si>
  <si>
    <t>₩117,485,235</t>
  </si>
  <si>
    <t>₩81,765,096,600</t>
  </si>
  <si>
    <t>067160</t>
  </si>
  <si>
    <t>SOOP</t>
  </si>
  <si>
    <t>₩6,273,231,571</t>
  </si>
  <si>
    <t>₩1,039,126,936,800</t>
  </si>
  <si>
    <t>019660</t>
  </si>
  <si>
    <t>글로본</t>
  </si>
  <si>
    <t>₩47,524,006</t>
  </si>
  <si>
    <t>₩15,621,044,954</t>
  </si>
  <si>
    <t>051370</t>
  </si>
  <si>
    <t>인터플렉스</t>
  </si>
  <si>
    <t>₩757,098,697</t>
  </si>
  <si>
    <t>₩222,777,357,600</t>
  </si>
  <si>
    <t>047770</t>
  </si>
  <si>
    <t>코데즈컴바인</t>
  </si>
  <si>
    <t>₩1,732,897,239</t>
  </si>
  <si>
    <t>₩56,763,903,000</t>
  </si>
  <si>
    <t>060310</t>
  </si>
  <si>
    <t>3S</t>
  </si>
  <si>
    <t>₩925,558,890</t>
  </si>
  <si>
    <t>₩108,299,441,040</t>
  </si>
  <si>
    <t>190650</t>
  </si>
  <si>
    <t>코리아에셋투자증권</t>
  </si>
  <si>
    <t>₩26,693,350</t>
  </si>
  <si>
    <t>₩35,325,640,000</t>
  </si>
  <si>
    <t>090460</t>
  </si>
  <si>
    <t>비에이치</t>
  </si>
  <si>
    <t>₩5,690,308,940</t>
  </si>
  <si>
    <t>₩525,581,779,750</t>
  </si>
  <si>
    <t>037230</t>
  </si>
  <si>
    <t>한국팩키지</t>
  </si>
  <si>
    <t>₩13,773,205</t>
  </si>
  <si>
    <t>₩59,421,852,038</t>
  </si>
  <si>
    <t>007330</t>
  </si>
  <si>
    <t>푸른저축은행</t>
  </si>
  <si>
    <t>₩108,296,565</t>
  </si>
  <si>
    <t>₩129,108,768,000</t>
  </si>
  <si>
    <t>058630</t>
  </si>
  <si>
    <t>엠게임</t>
  </si>
  <si>
    <t>₩817,034,519</t>
  </si>
  <si>
    <t>₩122,540,108,790</t>
  </si>
  <si>
    <t>115180</t>
  </si>
  <si>
    <t>큐리언트</t>
  </si>
  <si>
    <t>₩1,394,547,350</t>
  </si>
  <si>
    <t>₩151,129,700,280</t>
  </si>
  <si>
    <t>039310</t>
  </si>
  <si>
    <t>세중</t>
  </si>
  <si>
    <t>₩38,463,459</t>
  </si>
  <si>
    <t>₩30,371,913,892</t>
  </si>
  <si>
    <t>357550</t>
  </si>
  <si>
    <t>석경에이티</t>
  </si>
  <si>
    <t>₩207,128,271</t>
  </si>
  <si>
    <t>₩241,929,250,000</t>
  </si>
  <si>
    <t>194700</t>
  </si>
  <si>
    <t>노바렉스</t>
  </si>
  <si>
    <t>₩1,842,137,113</t>
  </si>
  <si>
    <t>₩188,298,673,920</t>
  </si>
  <si>
    <t>059210</t>
  </si>
  <si>
    <t>메타바이오메드</t>
  </si>
  <si>
    <t>₩4,397,834,207</t>
  </si>
  <si>
    <t>₩94,972,156,980</t>
  </si>
  <si>
    <t>199550</t>
  </si>
  <si>
    <t>레이저옵텍</t>
  </si>
  <si>
    <t>₩273,831,803</t>
  </si>
  <si>
    <t>₩68,666,328,360</t>
  </si>
  <si>
    <t>302430</t>
  </si>
  <si>
    <t>이노메트리</t>
  </si>
  <si>
    <t>₩118,558,253</t>
  </si>
  <si>
    <t>₩82,697,279,280</t>
  </si>
  <si>
    <t>017180</t>
  </si>
  <si>
    <t>명문제약</t>
  </si>
  <si>
    <t>₩2,663,750,844</t>
  </si>
  <si>
    <t>₩69,774,347,970</t>
  </si>
  <si>
    <t>002620</t>
  </si>
  <si>
    <t>제일파마홀딩스</t>
  </si>
  <si>
    <t>₩538,633,159</t>
  </si>
  <si>
    <t>₩138,009,787,200</t>
  </si>
  <si>
    <t>036000</t>
  </si>
  <si>
    <t>예림당</t>
  </si>
  <si>
    <t>₩20,135,673,200</t>
  </si>
  <si>
    <t>₩60,349,805,740</t>
  </si>
  <si>
    <t>418550</t>
  </si>
  <si>
    <t>제이오</t>
  </si>
  <si>
    <t>₩10,843,642,018</t>
  </si>
  <si>
    <t>₩570,312,300,350</t>
  </si>
  <si>
    <t>054780</t>
  </si>
  <si>
    <t>키이스트</t>
  </si>
  <si>
    <t>₩277,656,255</t>
  </si>
  <si>
    <t>₩87,085,417,815</t>
  </si>
  <si>
    <t>003075</t>
  </si>
  <si>
    <t>코오롱글로벌우</t>
  </si>
  <si>
    <t>₩58,140,824</t>
  </si>
  <si>
    <t>₩12,362,900,530</t>
  </si>
  <si>
    <t>000100</t>
  </si>
  <si>
    <t>유한양행</t>
  </si>
  <si>
    <t>₩333,538,911,162</t>
  </si>
  <si>
    <t>₩10,627,700,980,000</t>
  </si>
  <si>
    <t>042500</t>
  </si>
  <si>
    <t>링네트</t>
  </si>
  <si>
    <t>₩197,525,800</t>
  </si>
  <si>
    <t>₩83,241,134,910</t>
  </si>
  <si>
    <t>290670</t>
  </si>
  <si>
    <t>대보마그네틱</t>
  </si>
  <si>
    <t>₩233,080,309</t>
  </si>
  <si>
    <t>₩114,721,836,000</t>
  </si>
  <si>
    <t>084010</t>
  </si>
  <si>
    <t>대한제강</t>
  </si>
  <si>
    <t>₩994,411,495</t>
  </si>
  <si>
    <t>₩340,679,476,350</t>
  </si>
  <si>
    <t>067570</t>
  </si>
  <si>
    <t>엔브이에이치코리아</t>
  </si>
  <si>
    <t>₩234,537,801</t>
  </si>
  <si>
    <t>₩99,732,050,000</t>
  </si>
  <si>
    <t>004170</t>
  </si>
  <si>
    <t>신세계</t>
  </si>
  <si>
    <t>₩3,309,786,157</t>
  </si>
  <si>
    <t>₩1,347,805,278,900</t>
  </si>
  <si>
    <t>143240</t>
  </si>
  <si>
    <t>사람인</t>
  </si>
  <si>
    <t>₩169,433,525</t>
  </si>
  <si>
    <t>₩181,610,669,130</t>
  </si>
  <si>
    <t>045520</t>
  </si>
  <si>
    <t>크린앤사이언스</t>
  </si>
  <si>
    <t>₩19,696,072</t>
  </si>
  <si>
    <t>₩32,825,000,000</t>
  </si>
  <si>
    <t>007590</t>
  </si>
  <si>
    <t>동방아그로</t>
  </si>
  <si>
    <t>₩28,730,926</t>
  </si>
  <si>
    <t>₩85,246,032,020</t>
  </si>
  <si>
    <t>032580</t>
  </si>
  <si>
    <t>피델릭스</t>
  </si>
  <si>
    <t>₩20,598,225,969</t>
  </si>
  <si>
    <t>₩52,149,868,736</t>
  </si>
  <si>
    <t>307950</t>
  </si>
  <si>
    <t>현대오토에버</t>
  </si>
  <si>
    <t>₩9,918,631,629</t>
  </si>
  <si>
    <t>₩3,902,432,638,600</t>
  </si>
  <si>
    <t>123690</t>
  </si>
  <si>
    <t>한국화장품</t>
  </si>
  <si>
    <t>₩414,556,043</t>
  </si>
  <si>
    <t>₩104,281,320,000</t>
  </si>
  <si>
    <t>036220</t>
  </si>
  <si>
    <t>오상헬스케어</t>
  </si>
  <si>
    <t>₩349,351,756</t>
  </si>
  <si>
    <t>₩183,146,218,240</t>
  </si>
  <si>
    <t>060250</t>
  </si>
  <si>
    <t>NHN KCP</t>
  </si>
  <si>
    <t>₩626,174,359</t>
  </si>
  <si>
    <t>₩279,919,458,670</t>
  </si>
  <si>
    <t>031860</t>
  </si>
  <si>
    <t>에스유홀딩스</t>
  </si>
  <si>
    <t>₩48,494,902</t>
  </si>
  <si>
    <t>₩15,116,514,136</t>
  </si>
  <si>
    <t>195990</t>
  </si>
  <si>
    <t>에이비프로바이오</t>
  </si>
  <si>
    <t>₩654,866,917</t>
  </si>
  <si>
    <t>₩161,134,382,086</t>
  </si>
  <si>
    <t>093370</t>
  </si>
  <si>
    <t>후성</t>
  </si>
  <si>
    <t>₩1,444,081,240</t>
  </si>
  <si>
    <t>₩600,629,848,000</t>
  </si>
  <si>
    <t>066570</t>
  </si>
  <si>
    <t>LG전자</t>
  </si>
  <si>
    <t>₩36,599,342,771</t>
  </si>
  <si>
    <t>₩14,711,938,478,600</t>
  </si>
  <si>
    <t>352090</t>
  </si>
  <si>
    <t>스톰테크</t>
  </si>
  <si>
    <t>₩134,487,183</t>
  </si>
  <si>
    <t>₩88,680,893,400</t>
  </si>
  <si>
    <t>179290</t>
  </si>
  <si>
    <t>엠아이텍</t>
  </si>
  <si>
    <t>₩2,203,984,002</t>
  </si>
  <si>
    <t>₩282,876,025,720</t>
  </si>
  <si>
    <t>009450</t>
  </si>
  <si>
    <t>경동나비엔</t>
  </si>
  <si>
    <t>₩7,949,140,167</t>
  </si>
  <si>
    <t>₩1,270,381,222,400</t>
  </si>
  <si>
    <t>383220</t>
  </si>
  <si>
    <t>F&amp;F</t>
  </si>
  <si>
    <t>₩6,539,129,876</t>
  </si>
  <si>
    <t>₩2,022,613,560,000</t>
  </si>
  <si>
    <t>028300</t>
  </si>
  <si>
    <t>HLB</t>
  </si>
  <si>
    <t>₩65,324,777,962</t>
  </si>
  <si>
    <t>₩7,922,662,209,900</t>
  </si>
  <si>
    <t>450140</t>
  </si>
  <si>
    <t>코오롱모빌리티그룹</t>
  </si>
  <si>
    <t>₩123,131,027</t>
  </si>
  <si>
    <t>₩130,262,793,750</t>
  </si>
  <si>
    <t>214180</t>
  </si>
  <si>
    <t>헥토이노베이션</t>
  </si>
  <si>
    <t>₩190,143,120</t>
  </si>
  <si>
    <t>₩169,691,968,000</t>
  </si>
  <si>
    <t>404990</t>
  </si>
  <si>
    <t>신한서부티엔디리츠</t>
  </si>
  <si>
    <t>₩294,116,726</t>
  </si>
  <si>
    <t>₩182,416,181,840</t>
  </si>
  <si>
    <t>033200</t>
  </si>
  <si>
    <t>모아텍</t>
  </si>
  <si>
    <t>₩12,660,719</t>
  </si>
  <si>
    <t>₩45,214,888,675</t>
  </si>
  <si>
    <t>303360</t>
  </si>
  <si>
    <t>프로티아</t>
  </si>
  <si>
    <t>₩54,840,657</t>
  </si>
  <si>
    <t>₩35,669,885,550</t>
  </si>
  <si>
    <t>009780</t>
  </si>
  <si>
    <t>엠에스씨</t>
  </si>
  <si>
    <t>₩6,781,559,908</t>
  </si>
  <si>
    <t>₩92,928,000,000</t>
  </si>
  <si>
    <t>020000</t>
  </si>
  <si>
    <t>한섬</t>
  </si>
  <si>
    <t>₩578,797,395</t>
  </si>
  <si>
    <t>₩354,721,260,000</t>
  </si>
  <si>
    <t>108380</t>
  </si>
  <si>
    <t>대양전기공업</t>
  </si>
  <si>
    <t>₩409,845,192</t>
  </si>
  <si>
    <t>₩122,844,555,720</t>
  </si>
  <si>
    <t>092790</t>
  </si>
  <si>
    <t>넥스틸</t>
  </si>
  <si>
    <t>₩17,491,096,750</t>
  </si>
  <si>
    <t>₩290,442,340,000</t>
  </si>
  <si>
    <t>407400</t>
  </si>
  <si>
    <t>꿈비</t>
  </si>
  <si>
    <t>₩423,408,548</t>
  </si>
  <si>
    <t>₩68,775,649,140</t>
  </si>
  <si>
    <t>049070</t>
  </si>
  <si>
    <t>인탑스</t>
  </si>
  <si>
    <t>₩1,370,818,873</t>
  </si>
  <si>
    <t>₩328,348,000,000</t>
  </si>
  <si>
    <t>103590</t>
  </si>
  <si>
    <t>일진전기</t>
  </si>
  <si>
    <t>₩26,626,410,669</t>
  </si>
  <si>
    <t>₩1,356,649,345,500</t>
  </si>
  <si>
    <t>015230</t>
  </si>
  <si>
    <t>대창단조</t>
  </si>
  <si>
    <t>₩239,850,168</t>
  </si>
  <si>
    <t>₩152,861,430,500</t>
  </si>
  <si>
    <t>161580</t>
  </si>
  <si>
    <t>필옵틱스</t>
  </si>
  <si>
    <t>₩25,458,059,642</t>
  </si>
  <si>
    <t>₩413,461,558,000</t>
  </si>
  <si>
    <t>003060</t>
  </si>
  <si>
    <t>에이프로젠바이오로직스</t>
  </si>
  <si>
    <t>₩607,750,201</t>
  </si>
  <si>
    <t>₩158,726,276,000</t>
  </si>
  <si>
    <t>067280</t>
  </si>
  <si>
    <t>멀티캠퍼스</t>
  </si>
  <si>
    <t>₩166,209,550</t>
  </si>
  <si>
    <t>₩167,135,167,800</t>
  </si>
  <si>
    <t>120110</t>
  </si>
  <si>
    <t>코오롱인더</t>
  </si>
  <si>
    <t>₩2,318,763,000</t>
  </si>
  <si>
    <t>₩820,068,911,800</t>
  </si>
  <si>
    <t>246710</t>
  </si>
  <si>
    <t>티앤알바이오팹</t>
  </si>
  <si>
    <t>₩269,032,824</t>
  </si>
  <si>
    <t>₩140,916,255,120</t>
  </si>
  <si>
    <t>199730</t>
  </si>
  <si>
    <t>바이오인프라</t>
  </si>
  <si>
    <t>₩328,365,410</t>
  </si>
  <si>
    <t>₩36,823,258,190</t>
  </si>
  <si>
    <t>009830</t>
  </si>
  <si>
    <t>한화솔루션</t>
  </si>
  <si>
    <t>₩25,579,572,221</t>
  </si>
  <si>
    <t>₩3,159,384,811,680</t>
  </si>
  <si>
    <t>120115</t>
  </si>
  <si>
    <t>코오롱인더우</t>
  </si>
  <si>
    <t>₩82,658,855</t>
  </si>
  <si>
    <t>₩55,357,200,000</t>
  </si>
  <si>
    <t>169330</t>
  </si>
  <si>
    <t>엠브레인</t>
  </si>
  <si>
    <t>₩17,565,131</t>
  </si>
  <si>
    <t>₩39,891,365,830</t>
  </si>
  <si>
    <t>273060</t>
  </si>
  <si>
    <t>와이즈버즈</t>
  </si>
  <si>
    <t>₩159,845,672</t>
  </si>
  <si>
    <t>₩45,262,245,054</t>
  </si>
  <si>
    <t>069140</t>
  </si>
  <si>
    <t>누리플랜</t>
  </si>
  <si>
    <t>₩27,182,820</t>
  </si>
  <si>
    <t>₩17,217,004,302</t>
  </si>
  <si>
    <t>067390</t>
  </si>
  <si>
    <t>아스트</t>
  </si>
  <si>
    <t>₩162,099,022</t>
  </si>
  <si>
    <t>₩187,793,987,220</t>
  </si>
  <si>
    <t>138610</t>
  </si>
  <si>
    <t>나이벡</t>
  </si>
  <si>
    <t>₩23,665,539,308</t>
  </si>
  <si>
    <t>₩181,370,398,050</t>
  </si>
  <si>
    <t>417790</t>
  </si>
  <si>
    <t>트루엔</t>
  </si>
  <si>
    <t>₩382,377,287</t>
  </si>
  <si>
    <t>₩101,856,759,000</t>
  </si>
  <si>
    <t>072950</t>
  </si>
  <si>
    <t>빛샘전자</t>
  </si>
  <si>
    <t>₩51,859,824</t>
  </si>
  <si>
    <t>₩31,606,494,250</t>
  </si>
  <si>
    <t>063440</t>
  </si>
  <si>
    <t>SM Life Design</t>
  </si>
  <si>
    <t>₩103,645,511</t>
  </si>
  <si>
    <t>₩63,980,524,060</t>
  </si>
  <si>
    <t>391710</t>
  </si>
  <si>
    <t>코닉오토메이션</t>
  </si>
  <si>
    <t>₩190,469,125</t>
  </si>
  <si>
    <t>₩78,856,121,800</t>
  </si>
  <si>
    <t>038060</t>
  </si>
  <si>
    <t>루멘스</t>
  </si>
  <si>
    <t>₩78,746,829</t>
  </si>
  <si>
    <t>₩59,888,320,905</t>
  </si>
  <si>
    <t>007815</t>
  </si>
  <si>
    <t>코리아써우</t>
  </si>
  <si>
    <t>₩6,942,717</t>
  </si>
  <si>
    <t>₩16,098,266,700</t>
  </si>
  <si>
    <t>187220</t>
  </si>
  <si>
    <t>디티앤씨</t>
  </si>
  <si>
    <t>₩3,469,244,258</t>
  </si>
  <si>
    <t>₩38,544,979,195</t>
  </si>
  <si>
    <t>170900</t>
  </si>
  <si>
    <t>동아에스티</t>
  </si>
  <si>
    <t>₩3,370,248,924</t>
  </si>
  <si>
    <t>₩682,967,128,000</t>
  </si>
  <si>
    <t>001340</t>
  </si>
  <si>
    <t>백광산업</t>
  </si>
  <si>
    <t>₩4,492,972,516</t>
  </si>
  <si>
    <t>₩407,409,951,490</t>
  </si>
  <si>
    <t>032940</t>
  </si>
  <si>
    <t>원익</t>
  </si>
  <si>
    <t>₩2,258,221,423</t>
  </si>
  <si>
    <t>₩67,042,052,550</t>
  </si>
  <si>
    <t>105550</t>
  </si>
  <si>
    <t>엣지파운드리</t>
  </si>
  <si>
    <t>₩667,107,565</t>
  </si>
  <si>
    <t>₩153,774,535,950</t>
  </si>
  <si>
    <t>060850</t>
  </si>
  <si>
    <t>영림원소프트랩</t>
  </si>
  <si>
    <t>₩177,373,816</t>
  </si>
  <si>
    <t>₩54,071,150,000</t>
  </si>
  <si>
    <t>089470</t>
  </si>
  <si>
    <t>HDC현대EP</t>
  </si>
  <si>
    <t>₩118,533,492</t>
  </si>
  <si>
    <t>₩121,379,500,000</t>
  </si>
  <si>
    <t>090850</t>
  </si>
  <si>
    <t>현대이지웰</t>
  </si>
  <si>
    <t>₩1,315,037,341</t>
  </si>
  <si>
    <t>₩153,164,028,450</t>
  </si>
  <si>
    <t>348340</t>
  </si>
  <si>
    <t>뉴로메카</t>
  </si>
  <si>
    <t>₩1,114,962,471</t>
  </si>
  <si>
    <t>₩210,983,400,000</t>
  </si>
  <si>
    <t>004910</t>
  </si>
  <si>
    <t>조광페인트</t>
  </si>
  <si>
    <t>₩111,751,826</t>
  </si>
  <si>
    <t>₩82,048,000,000</t>
  </si>
  <si>
    <t>108320</t>
  </si>
  <si>
    <t>LX세미콘</t>
  </si>
  <si>
    <t>₩2,079,577,210</t>
  </si>
  <si>
    <t>₩959,593,700,000</t>
  </si>
  <si>
    <t>033540</t>
  </si>
  <si>
    <t>파라텍</t>
  </si>
  <si>
    <t>₩462,009,674</t>
  </si>
  <si>
    <t>₩50,548,673,357</t>
  </si>
  <si>
    <t>006360</t>
  </si>
  <si>
    <t>GS건설</t>
  </si>
  <si>
    <t>₩6,280,234,950</t>
  </si>
  <si>
    <t>₩1,507,090,038,900</t>
  </si>
  <si>
    <t>000325</t>
  </si>
  <si>
    <t>노루홀딩스우</t>
  </si>
  <si>
    <t>₩4,979,819</t>
  </si>
  <si>
    <t>₩6,649,160,700</t>
  </si>
  <si>
    <t>014160</t>
  </si>
  <si>
    <t>대영포장</t>
  </si>
  <si>
    <t>₩362,711,548</t>
  </si>
  <si>
    <t>₩108,611,338,098</t>
  </si>
  <si>
    <t>023450</t>
  </si>
  <si>
    <t>동남합성</t>
  </si>
  <si>
    <t>₩122,660,438</t>
  </si>
  <si>
    <t>₩109,900,000,000</t>
  </si>
  <si>
    <t>084870</t>
  </si>
  <si>
    <t>TBH글로벌</t>
  </si>
  <si>
    <t>₩27,226,221</t>
  </si>
  <si>
    <t>₩28,073,278,374</t>
  </si>
  <si>
    <t>085310</t>
  </si>
  <si>
    <t>엔케이</t>
  </si>
  <si>
    <t>₩106,873,440</t>
  </si>
  <si>
    <t>₩62,786,931,320</t>
  </si>
  <si>
    <t>334890</t>
  </si>
  <si>
    <t>이지스밸류리츠</t>
  </si>
  <si>
    <t>₩403,279,154</t>
  </si>
  <si>
    <t>₩269,049,342,870</t>
  </si>
  <si>
    <t>173130</t>
  </si>
  <si>
    <t>오파스넷</t>
  </si>
  <si>
    <t>₩1,557,641,539</t>
  </si>
  <si>
    <t>₩104,763,178,190</t>
  </si>
  <si>
    <t>004140</t>
  </si>
  <si>
    <t>동방</t>
  </si>
  <si>
    <t>₩984,926,429</t>
  </si>
  <si>
    <t>₩107,936,473,500</t>
  </si>
  <si>
    <t>452200</t>
  </si>
  <si>
    <t>민테크</t>
  </si>
  <si>
    <t>₩2,713,283,914</t>
  </si>
  <si>
    <t>₩130,793,988,000</t>
  </si>
  <si>
    <t>140670</t>
  </si>
  <si>
    <t>알에스오토메이션</t>
  </si>
  <si>
    <t>₩496,649,248</t>
  </si>
  <si>
    <t>₩95,729,310,600</t>
  </si>
  <si>
    <t>365900</t>
  </si>
  <si>
    <t>브이씨</t>
  </si>
  <si>
    <t>₩40,115,423</t>
  </si>
  <si>
    <t>₩23,758,475,000</t>
  </si>
  <si>
    <t>282720</t>
  </si>
  <si>
    <t>금양그린파워</t>
  </si>
  <si>
    <t>₩5,799,449,793</t>
  </si>
  <si>
    <t>₩117,922,735,000</t>
  </si>
  <si>
    <t>021650</t>
  </si>
  <si>
    <t>한국큐빅</t>
  </si>
  <si>
    <t>₩47,971,062</t>
  </si>
  <si>
    <t>₩41,693,935,650</t>
  </si>
  <si>
    <t>025820</t>
  </si>
  <si>
    <t>이구산업</t>
  </si>
  <si>
    <t>₩1,616,561,590</t>
  </si>
  <si>
    <t>₩140,121,980,000</t>
  </si>
  <si>
    <t>274090</t>
  </si>
  <si>
    <t>켄코아에어로스페이스</t>
  </si>
  <si>
    <t>₩4,116,833,393</t>
  </si>
  <si>
    <t>₩145,273,792,500</t>
  </si>
  <si>
    <t>081000</t>
  </si>
  <si>
    <t>일진다이아</t>
  </si>
  <si>
    <t>₩358,665,206</t>
  </si>
  <si>
    <t>₩174,270,503,250</t>
  </si>
  <si>
    <t>239610</t>
  </si>
  <si>
    <t>에이치엘사이언스</t>
  </si>
  <si>
    <t>₩2,439,504,473</t>
  </si>
  <si>
    <t>₩76,082,742,650</t>
  </si>
  <si>
    <t>045390</t>
  </si>
  <si>
    <t>대아티아이</t>
  </si>
  <si>
    <t>₩993,741,322</t>
  </si>
  <si>
    <t>₩196,973,088,715</t>
  </si>
  <si>
    <t>000860</t>
  </si>
  <si>
    <t>강남제비스코</t>
  </si>
  <si>
    <t>₩173,371,031</t>
  </si>
  <si>
    <t>₩170,300,000,000</t>
  </si>
  <si>
    <t>322000</t>
  </si>
  <si>
    <t>HD현대에너지솔루션</t>
  </si>
  <si>
    <t>₩2,087,412,276</t>
  </si>
  <si>
    <t>₩224,000,000,000</t>
  </si>
  <si>
    <t>225530</t>
  </si>
  <si>
    <t>보광산업</t>
  </si>
  <si>
    <t>₩161,702,948</t>
  </si>
  <si>
    <t>₩139,177,324,410</t>
  </si>
  <si>
    <t>007570</t>
  </si>
  <si>
    <t>일양약품</t>
  </si>
  <si>
    <t>₩300,941,798</t>
  </si>
  <si>
    <t>₩238,379,943,360</t>
  </si>
  <si>
    <t>033050</t>
  </si>
  <si>
    <t>제이엠아이</t>
  </si>
  <si>
    <t>₩17,077,954</t>
  </si>
  <si>
    <t>₩30,494,264,112</t>
  </si>
  <si>
    <t>019540</t>
  </si>
  <si>
    <t>일지테크</t>
  </si>
  <si>
    <t>₩123,923,355</t>
  </si>
  <si>
    <t>₩52,432,380,000</t>
  </si>
  <si>
    <t>140070</t>
  </si>
  <si>
    <t>서플러스글로벌</t>
  </si>
  <si>
    <t>₩5,967,598,665</t>
  </si>
  <si>
    <t>₩115,032,680,000</t>
  </si>
  <si>
    <t>123570</t>
  </si>
  <si>
    <t>이엠넷</t>
  </si>
  <si>
    <t>₩239,382,989</t>
  </si>
  <si>
    <t>₩56,803,998,900</t>
  </si>
  <si>
    <t>008730</t>
  </si>
  <si>
    <t>율촌화학</t>
  </si>
  <si>
    <t>₩3,467,294,929</t>
  </si>
  <si>
    <t>₩710,520,000,000</t>
  </si>
  <si>
    <t>194480</t>
  </si>
  <si>
    <t>데브시스터즈</t>
  </si>
  <si>
    <t>₩2,146,858,257</t>
  </si>
  <si>
    <t>₩391,923,157,500</t>
  </si>
  <si>
    <t>333050</t>
  </si>
  <si>
    <t>모코엠시스</t>
  </si>
  <si>
    <t>₩26,439,788</t>
  </si>
  <si>
    <t>₩29,333,191,200</t>
  </si>
  <si>
    <t>238490</t>
  </si>
  <si>
    <t>힘스</t>
  </si>
  <si>
    <t>₩92,787,965</t>
  </si>
  <si>
    <t>₩46,549,851,140</t>
  </si>
  <si>
    <t>013000</t>
  </si>
  <si>
    <t>세우글로벌</t>
  </si>
  <si>
    <t>₩18,919,545</t>
  </si>
  <si>
    <t>₩33,785,821,487</t>
  </si>
  <si>
    <t>038870</t>
  </si>
  <si>
    <t>에코바이오</t>
  </si>
  <si>
    <t>₩1,618,959,330</t>
  </si>
  <si>
    <t>₩52,415,909,260</t>
  </si>
  <si>
    <t>114450</t>
  </si>
  <si>
    <t>그린생명과학</t>
  </si>
  <si>
    <t>₩231,430,844</t>
  </si>
  <si>
    <t>₩39,360,000,000</t>
  </si>
  <si>
    <t>003555</t>
  </si>
  <si>
    <t>LG우</t>
  </si>
  <si>
    <t>₩155,777,500</t>
  </si>
  <si>
    <t>₩176,160,446,000</t>
  </si>
  <si>
    <t>017000</t>
  </si>
  <si>
    <t>신원종합개발</t>
  </si>
  <si>
    <t>₩776,643,943</t>
  </si>
  <si>
    <t>₩31,503,672,900</t>
  </si>
  <si>
    <t>051600</t>
  </si>
  <si>
    <t>한전KPS</t>
  </si>
  <si>
    <t>₩9,264,345,448</t>
  </si>
  <si>
    <t>₩2,020,500,000,000</t>
  </si>
  <si>
    <t>034830</t>
  </si>
  <si>
    <t>한국토지신탁</t>
  </si>
  <si>
    <t>₩170,045,927</t>
  </si>
  <si>
    <t>₩259,811,417,670</t>
  </si>
  <si>
    <t>025540</t>
  </si>
  <si>
    <t>한국단자</t>
  </si>
  <si>
    <t>₩2,166,631,186</t>
  </si>
  <si>
    <t>₩773,834,500,000</t>
  </si>
  <si>
    <t>101240</t>
  </si>
  <si>
    <t>씨큐브</t>
  </si>
  <si>
    <t>₩278,579,477</t>
  </si>
  <si>
    <t>₩47,620,060,935</t>
  </si>
  <si>
    <t>321550</t>
  </si>
  <si>
    <t>티움바이오</t>
  </si>
  <si>
    <t>₩736,856,840</t>
  </si>
  <si>
    <t>₩130,647,974,860</t>
  </si>
  <si>
    <t>005750</t>
  </si>
  <si>
    <t>대림B&amp;Co</t>
  </si>
  <si>
    <t>₩67,203,270</t>
  </si>
  <si>
    <t>₩59,519,896,800</t>
  </si>
  <si>
    <t>439730</t>
  </si>
  <si>
    <t>IBKS제20호스팩</t>
  </si>
  <si>
    <t>₩21,479,558</t>
  </si>
  <si>
    <t>₩9,395,800,000</t>
  </si>
  <si>
    <t>086980</t>
  </si>
  <si>
    <t>쇼박스</t>
  </si>
  <si>
    <t>₩11,351,560,767</t>
  </si>
  <si>
    <t>₩265,898,310,000</t>
  </si>
  <si>
    <t>072990</t>
  </si>
  <si>
    <t>에이치시티</t>
  </si>
  <si>
    <t>₩268,589,071</t>
  </si>
  <si>
    <t>₩69,448,359,730</t>
  </si>
  <si>
    <t>097520</t>
  </si>
  <si>
    <t>엠씨넥스</t>
  </si>
  <si>
    <t>₩926,272,647</t>
  </si>
  <si>
    <t>₩336,183,588,400</t>
  </si>
  <si>
    <t>011080</t>
  </si>
  <si>
    <t>형지I&amp;C</t>
  </si>
  <si>
    <t>₩81,326,501</t>
  </si>
  <si>
    <t>₩15,404,031,856</t>
  </si>
  <si>
    <t>146060</t>
  </si>
  <si>
    <t>율촌</t>
  </si>
  <si>
    <t>₩125,599,706</t>
  </si>
  <si>
    <t>₩29,419,103,875</t>
  </si>
  <si>
    <t>100220</t>
  </si>
  <si>
    <t>비상교육</t>
  </si>
  <si>
    <t>₩1,780,856,075</t>
  </si>
  <si>
    <t>₩78,500,315,640</t>
  </si>
  <si>
    <t>034940</t>
  </si>
  <si>
    <t>조아제약</t>
  </si>
  <si>
    <t>₩38,107,265</t>
  </si>
  <si>
    <t>₩35,936,599,320</t>
  </si>
  <si>
    <t>373200</t>
  </si>
  <si>
    <t>엑스플러스</t>
  </si>
  <si>
    <t>₩1,417,742,668</t>
  </si>
  <si>
    <t>₩45,574,805,514</t>
  </si>
  <si>
    <t>238090</t>
  </si>
  <si>
    <t>앤디포스</t>
  </si>
  <si>
    <t>₩116,963,184</t>
  </si>
  <si>
    <t>₩93,458,972,910</t>
  </si>
  <si>
    <t>073110</t>
  </si>
  <si>
    <t>엘엠에스</t>
  </si>
  <si>
    <t>₩58,997,611</t>
  </si>
  <si>
    <t>₩55,687,426,300</t>
  </si>
  <si>
    <t>069540</t>
  </si>
  <si>
    <t>빛과전자</t>
  </si>
  <si>
    <t>₩1,193,528,794</t>
  </si>
  <si>
    <t>₩70,922,261,128</t>
  </si>
  <si>
    <t>002880</t>
  </si>
  <si>
    <t>대유에이텍</t>
  </si>
  <si>
    <t>₩59,239,076</t>
  </si>
  <si>
    <t>₩54,223,063,200</t>
  </si>
  <si>
    <t>005380</t>
  </si>
  <si>
    <t>현대차</t>
  </si>
  <si>
    <t>₩177,488,565,738</t>
  </si>
  <si>
    <t>₩44,186,816,301,000</t>
  </si>
  <si>
    <t>138930</t>
  </si>
  <si>
    <t>BNK금융지주</t>
  </si>
  <si>
    <t>₩12,349,237,529</t>
  </si>
  <si>
    <t>₩3,031,331,437,420</t>
  </si>
  <si>
    <t>019550</t>
  </si>
  <si>
    <t>SBI인베스트먼트</t>
  </si>
  <si>
    <t>₩644,666,970</t>
  </si>
  <si>
    <t>₩113,932,802,225</t>
  </si>
  <si>
    <t>214370</t>
  </si>
  <si>
    <t>케어젠</t>
  </si>
  <si>
    <t>₩1,140,381,928</t>
  </si>
  <si>
    <t>₩1,004,470,500,000</t>
  </si>
  <si>
    <t>465320</t>
  </si>
  <si>
    <t>교보15호스팩</t>
  </si>
  <si>
    <t>₩7,280,670</t>
  </si>
  <si>
    <t>₩8,153,400,000</t>
  </si>
  <si>
    <t>475150</t>
  </si>
  <si>
    <t>SK이터닉스</t>
  </si>
  <si>
    <t>₩10,572,683,486</t>
  </si>
  <si>
    <t>₩486,847,882,750</t>
  </si>
  <si>
    <t>072710</t>
  </si>
  <si>
    <t>농심홀딩스</t>
  </si>
  <si>
    <t>₩244,402,186</t>
  </si>
  <si>
    <t>₩309,804,372,000</t>
  </si>
  <si>
    <t>477340</t>
  </si>
  <si>
    <t>에이치엠씨제7호스팩</t>
  </si>
  <si>
    <t>₩9,859,804</t>
  </si>
  <si>
    <t>₩14,982,450,000</t>
  </si>
  <si>
    <t>000215</t>
  </si>
  <si>
    <t>DL우</t>
  </si>
  <si>
    <t>₩49,818,950</t>
  </si>
  <si>
    <t>₩36,335,778,250</t>
  </si>
  <si>
    <t>900110</t>
  </si>
  <si>
    <t>이스트아시아홀딩스</t>
  </si>
  <si>
    <t>₩463,101,653</t>
  </si>
  <si>
    <t>₩29,371,379,400</t>
  </si>
  <si>
    <t>204210</t>
  </si>
  <si>
    <t>스타에스엠리츠</t>
  </si>
  <si>
    <t>₩100,354,643</t>
  </si>
  <si>
    <t>₩20,154,048,625</t>
  </si>
  <si>
    <t>031820</t>
  </si>
  <si>
    <t>콤텍시스템</t>
  </si>
  <si>
    <t>₩85,331,986</t>
  </si>
  <si>
    <t>₩67,788,820,960</t>
  </si>
  <si>
    <t>053290</t>
  </si>
  <si>
    <t>NE능률</t>
  </si>
  <si>
    <t>₩1,431,720,029</t>
  </si>
  <si>
    <t>₩59,494,705,200</t>
  </si>
  <si>
    <t>336060</t>
  </si>
  <si>
    <t>웨이버스</t>
  </si>
  <si>
    <t>₩829,392,555</t>
  </si>
  <si>
    <t>₩66,887,572,800</t>
  </si>
  <si>
    <t>027050</t>
  </si>
  <si>
    <t>코리아나</t>
  </si>
  <si>
    <t>₩319,487,383</t>
  </si>
  <si>
    <t>₩99,600,000,000</t>
  </si>
  <si>
    <t>225590</t>
  </si>
  <si>
    <t>패션플랫폼</t>
  </si>
  <si>
    <t>₩32,395,313</t>
  </si>
  <si>
    <t>₩23,626,764,431</t>
  </si>
  <si>
    <t>094170</t>
  </si>
  <si>
    <t>동운아나텍</t>
  </si>
  <si>
    <t>₩9,153,467,551</t>
  </si>
  <si>
    <t>₩388,971,043,200</t>
  </si>
  <si>
    <t>418470</t>
  </si>
  <si>
    <t>밀리의서재</t>
  </si>
  <si>
    <t>₩15,452,403,051</t>
  </si>
  <si>
    <t>₩115,590,330,400</t>
  </si>
  <si>
    <t>004560</t>
  </si>
  <si>
    <t>현대비앤지스틸</t>
  </si>
  <si>
    <t>₩2,224,818,959</t>
  </si>
  <si>
    <t>₩192,556,416,470</t>
  </si>
  <si>
    <t>049180</t>
  </si>
  <si>
    <t>셀루메드</t>
  </si>
  <si>
    <t>₩8,951,288,065</t>
  </si>
  <si>
    <t>₩140,638,423,380</t>
  </si>
  <si>
    <t>026150</t>
  </si>
  <si>
    <t>특수건설</t>
  </si>
  <si>
    <t>₩3,891,426,838</t>
  </si>
  <si>
    <t>₩105,979,839,240</t>
  </si>
  <si>
    <t>262840</t>
  </si>
  <si>
    <t>아이퀘스트</t>
  </si>
  <si>
    <t>₩94,484,084</t>
  </si>
  <si>
    <t>₩45,331,500,000</t>
  </si>
  <si>
    <t>148780</t>
  </si>
  <si>
    <t>비큐AI</t>
  </si>
  <si>
    <t>₩56,750,961</t>
  </si>
  <si>
    <t>₩33,018,011,250</t>
  </si>
  <si>
    <t>099390</t>
  </si>
  <si>
    <t>브레인즈컴퍼니</t>
  </si>
  <si>
    <t>₩224,278,899</t>
  </si>
  <si>
    <t>₩49,906,360,640</t>
  </si>
  <si>
    <t>105740</t>
  </si>
  <si>
    <t>디케이락</t>
  </si>
  <si>
    <t>₩878,479,338</t>
  </si>
  <si>
    <t>₩80,127,882,440</t>
  </si>
  <si>
    <t>122690</t>
  </si>
  <si>
    <t>서진오토모티브</t>
  </si>
  <si>
    <t>₩59,975,924</t>
  </si>
  <si>
    <t>₩49,040,700,450</t>
  </si>
  <si>
    <t>131760</t>
  </si>
  <si>
    <t>파인텍</t>
  </si>
  <si>
    <t>₩174,071,917</t>
  </si>
  <si>
    <t>₩34,832,129,566</t>
  </si>
  <si>
    <t>446070</t>
  </si>
  <si>
    <t>유니드비티플러스</t>
  </si>
  <si>
    <t>₩61,971,874</t>
  </si>
  <si>
    <t>₩46,371,009,550</t>
  </si>
  <si>
    <t>263920</t>
  </si>
  <si>
    <t>휴엠앤씨</t>
  </si>
  <si>
    <t>₩29,120,957</t>
  </si>
  <si>
    <t>₩49,535,585,340</t>
  </si>
  <si>
    <t>121890</t>
  </si>
  <si>
    <t>에스디시스템</t>
  </si>
  <si>
    <t>₩37,617,440</t>
  </si>
  <si>
    <t>₩17,637,748,842</t>
  </si>
  <si>
    <t>054300</t>
  </si>
  <si>
    <t>팬스타엔터프라이즈</t>
  </si>
  <si>
    <t>₩30,265,502</t>
  </si>
  <si>
    <t>₩32,689,116,760</t>
  </si>
  <si>
    <t>094970</t>
  </si>
  <si>
    <t>제이엠티</t>
  </si>
  <si>
    <t>₩288,856,222</t>
  </si>
  <si>
    <t>₩56,190,345,200</t>
  </si>
  <si>
    <t>054540</t>
  </si>
  <si>
    <t>삼영엠텍</t>
  </si>
  <si>
    <t>₩803,519,871</t>
  </si>
  <si>
    <t>₩55,770,000,000</t>
  </si>
  <si>
    <t>137940</t>
  </si>
  <si>
    <t>넥스트아이</t>
  </si>
  <si>
    <t>₩200,954,629</t>
  </si>
  <si>
    <t>₩31,171,754,816</t>
  </si>
  <si>
    <t>203690</t>
  </si>
  <si>
    <t>스피어파워</t>
  </si>
  <si>
    <t>₩148,504,452</t>
  </si>
  <si>
    <t>₩66,689,250,000</t>
  </si>
  <si>
    <t>259960</t>
  </si>
  <si>
    <t>크래프톤</t>
  </si>
  <si>
    <t>₩37,455,982,286</t>
  </si>
  <si>
    <t>₩15,208,286,512,500</t>
  </si>
  <si>
    <t>083420</t>
  </si>
  <si>
    <t>그린케미칼</t>
  </si>
  <si>
    <t>₩243,877,860</t>
  </si>
  <si>
    <t>₩125,280,000,000</t>
  </si>
  <si>
    <t>105760</t>
  </si>
  <si>
    <t>포스뱅크</t>
  </si>
  <si>
    <t>₩373,729,508</t>
  </si>
  <si>
    <t>₩62,530,500,850</t>
  </si>
  <si>
    <t>180400</t>
  </si>
  <si>
    <t>DXVX</t>
  </si>
  <si>
    <t>₩6,322,553,457</t>
  </si>
  <si>
    <t>₩109,513,236,200</t>
  </si>
  <si>
    <t>377480</t>
  </si>
  <si>
    <t>마음AI</t>
  </si>
  <si>
    <t>₩884,401,353</t>
  </si>
  <si>
    <t>₩71,065,011,940</t>
  </si>
  <si>
    <t>054210</t>
  </si>
  <si>
    <t>이랜텍</t>
  </si>
  <si>
    <t>₩1,847,094,646</t>
  </si>
  <si>
    <t>₩135,055,061,400</t>
  </si>
  <si>
    <t>009620</t>
  </si>
  <si>
    <t>삼보산업</t>
  </si>
  <si>
    <t>₩125,257,014</t>
  </si>
  <si>
    <t>₩19,627,049,932</t>
  </si>
  <si>
    <t>041440</t>
  </si>
  <si>
    <t>현대에버다임</t>
  </si>
  <si>
    <t>₩34,597,360,175</t>
  </si>
  <si>
    <t>₩179,876,077,760</t>
  </si>
  <si>
    <t>011790</t>
  </si>
  <si>
    <t>SKC</t>
  </si>
  <si>
    <t>₩42,983,341,143</t>
  </si>
  <si>
    <t>₩4,604,785,036,800</t>
  </si>
  <si>
    <t>232830</t>
  </si>
  <si>
    <t>시큐센</t>
  </si>
  <si>
    <t>₩77,058,515</t>
  </si>
  <si>
    <t>₩23,590,556,080</t>
  </si>
  <si>
    <t>071200</t>
  </si>
  <si>
    <t>인피니트헬스케어</t>
  </si>
  <si>
    <t>₩172,293,523</t>
  </si>
  <si>
    <t>₩108,686,220,390</t>
  </si>
  <si>
    <t>010040</t>
  </si>
  <si>
    <t>한국내화</t>
  </si>
  <si>
    <t>₩38,559,977</t>
  </si>
  <si>
    <t>₩91,990,218,880</t>
  </si>
  <si>
    <t>011700</t>
  </si>
  <si>
    <t>한신기계</t>
  </si>
  <si>
    <t>₩2,481,262,474</t>
  </si>
  <si>
    <t>₩119,077,374,170</t>
  </si>
  <si>
    <t>088130</t>
  </si>
  <si>
    <t>동아엘텍</t>
  </si>
  <si>
    <t>₩1,414,490,977</t>
  </si>
  <si>
    <t>₩39,473,096,355</t>
  </si>
  <si>
    <t>043100</t>
  </si>
  <si>
    <t>알파녹스</t>
  </si>
  <si>
    <t>₩1,009,958,425</t>
  </si>
  <si>
    <t>₩17,586,903,600</t>
  </si>
  <si>
    <t>000050</t>
  </si>
  <si>
    <t>경방</t>
  </si>
  <si>
    <t>₩65,928,362</t>
  </si>
  <si>
    <t>₩166,136,536,200</t>
  </si>
  <si>
    <t>140430</t>
  </si>
  <si>
    <t>카티스</t>
  </si>
  <si>
    <t>₩9,071,315,142</t>
  </si>
  <si>
    <t>₩57,402,168,095</t>
  </si>
  <si>
    <t>478390</t>
  </si>
  <si>
    <t>KB제29호스팩</t>
  </si>
  <si>
    <t>₩28,811,289</t>
  </si>
  <si>
    <t>₩12,906,500,000</t>
  </si>
  <si>
    <t>056080</t>
  </si>
  <si>
    <t>유진로봇</t>
  </si>
  <si>
    <t>₩1,457,206,699</t>
  </si>
  <si>
    <t>₩198,814,405,600</t>
  </si>
  <si>
    <t>027830</t>
  </si>
  <si>
    <t>대성창투</t>
  </si>
  <si>
    <t>₩562,496,781</t>
  </si>
  <si>
    <t>₩83,160,000,000</t>
  </si>
  <si>
    <t>001000</t>
  </si>
  <si>
    <t>신라섬유</t>
  </si>
  <si>
    <t>₩180,120,518</t>
  </si>
  <si>
    <t>₩24,835,923,420</t>
  </si>
  <si>
    <t>029460</t>
  </si>
  <si>
    <t>케이씨</t>
  </si>
  <si>
    <t>₩413,711,029</t>
  </si>
  <si>
    <t>₩243,972,792,000</t>
  </si>
  <si>
    <t>035200</t>
  </si>
  <si>
    <t>프럼파스트</t>
  </si>
  <si>
    <t>₩60,872,718</t>
  </si>
  <si>
    <t>₩29,045,811,150</t>
  </si>
  <si>
    <t>203450</t>
  </si>
  <si>
    <t>유니온커뮤니티</t>
  </si>
  <si>
    <t>₩106,504,780</t>
  </si>
  <si>
    <t>₩36,464,628,130</t>
  </si>
  <si>
    <t>219130</t>
  </si>
  <si>
    <t>타이거일렉</t>
  </si>
  <si>
    <t>₩1,355,967,774</t>
  </si>
  <si>
    <t>₩102,670,355,400</t>
  </si>
  <si>
    <t>355390</t>
  </si>
  <si>
    <t>크라우드웍스</t>
  </si>
  <si>
    <t>₩327,600,705</t>
  </si>
  <si>
    <t>₩47,780,293,860</t>
  </si>
  <si>
    <t>005490</t>
  </si>
  <si>
    <t>POSCO홀딩스</t>
  </si>
  <si>
    <t>₩92,393,644,929</t>
  </si>
  <si>
    <t>₩25,737,493,435,500</t>
  </si>
  <si>
    <t>237750</t>
  </si>
  <si>
    <t>피앤씨테크</t>
  </si>
  <si>
    <t>₩78,118,289</t>
  </si>
  <si>
    <t>₩27,935,380,000</t>
  </si>
  <si>
    <t>347740</t>
  </si>
  <si>
    <t>피엔케이피부임상연구센타</t>
  </si>
  <si>
    <t>₩173,504,003</t>
  </si>
  <si>
    <t>₩69,774,589,200</t>
  </si>
  <si>
    <t>033320</t>
  </si>
  <si>
    <t>제이씨현시스템</t>
  </si>
  <si>
    <t>₩22,027,466,121</t>
  </si>
  <si>
    <t>₩72,539,269,440</t>
  </si>
  <si>
    <t>007340</t>
  </si>
  <si>
    <t>DN오토모티브</t>
  </si>
  <si>
    <t>₩1,529,067,037</t>
  </si>
  <si>
    <t>₩1,092,127,843,850</t>
  </si>
  <si>
    <t>376190</t>
  </si>
  <si>
    <t>LB루셈</t>
  </si>
  <si>
    <t>₩1,978,130,386</t>
  </si>
  <si>
    <t>₩99,753,000,000</t>
  </si>
  <si>
    <t>900290</t>
  </si>
  <si>
    <t>GRT</t>
  </si>
  <si>
    <t>₩3,069,114,135</t>
  </si>
  <si>
    <t>₩280,953,750,000</t>
  </si>
  <si>
    <t>298380</t>
  </si>
  <si>
    <t>에이비엘바이오</t>
  </si>
  <si>
    <t>₩72,210,903,210</t>
  </si>
  <si>
    <t>₩1,936,325,896,700</t>
  </si>
  <si>
    <t>265740</t>
  </si>
  <si>
    <t>엔에프씨</t>
  </si>
  <si>
    <t>₩458,835,634</t>
  </si>
  <si>
    <t>₩45,730,816,000</t>
  </si>
  <si>
    <t>034120</t>
  </si>
  <si>
    <t>SBS</t>
  </si>
  <si>
    <t>₩475,972,825</t>
  </si>
  <si>
    <t>₩281,051,255,700</t>
  </si>
  <si>
    <t>012510</t>
  </si>
  <si>
    <t>더존비즈온</t>
  </si>
  <si>
    <t>₩15,055,506,105</t>
  </si>
  <si>
    <t>₩1,853,349,824,000</t>
  </si>
  <si>
    <t>001680</t>
  </si>
  <si>
    <t>대상</t>
  </si>
  <si>
    <t>₩1,637,378,141</t>
  </si>
  <si>
    <t>₩680,140,730,750</t>
  </si>
  <si>
    <t>110990</t>
  </si>
  <si>
    <t>디아이티</t>
  </si>
  <si>
    <t>₩1,432,120,055</t>
  </si>
  <si>
    <t>₩231,714,000,000</t>
  </si>
  <si>
    <t>441270</t>
  </si>
  <si>
    <t>파인엠텍</t>
  </si>
  <si>
    <t>₩1,676,820,996</t>
  </si>
  <si>
    <t>₩200,844,302,430</t>
  </si>
  <si>
    <t>032830</t>
  </si>
  <si>
    <t>삼성생명</t>
  </si>
  <si>
    <t>₩22,821,686,024</t>
  </si>
  <si>
    <t>₩20,680,000,000,000</t>
  </si>
  <si>
    <t>281740</t>
  </si>
  <si>
    <t>레이크머티리얼즈</t>
  </si>
  <si>
    <t>₩4,259,583,963</t>
  </si>
  <si>
    <t>₩844,637,541,800</t>
  </si>
  <si>
    <t>002100</t>
  </si>
  <si>
    <t>경농</t>
  </si>
  <si>
    <t>₩156,001,232</t>
  </si>
  <si>
    <t>₩179,022,012,750</t>
  </si>
  <si>
    <t>001430</t>
  </si>
  <si>
    <t>세아베스틸지주</t>
  </si>
  <si>
    <t>₩4,453,326,362</t>
  </si>
  <si>
    <t>₩878,621,915,500</t>
  </si>
  <si>
    <t>134790</t>
  </si>
  <si>
    <t>시디즈</t>
  </si>
  <si>
    <t>₩315,020,540</t>
  </si>
  <si>
    <t>₩63,400,000,000</t>
  </si>
  <si>
    <t>008260</t>
  </si>
  <si>
    <t>NI스틸</t>
  </si>
  <si>
    <t>₩184,556,711</t>
  </si>
  <si>
    <t>₩102,960,421,200</t>
  </si>
  <si>
    <t>121850</t>
  </si>
  <si>
    <t>코이즈</t>
  </si>
  <si>
    <t>₩284,377,494</t>
  </si>
  <si>
    <t>₩27,307,844,100</t>
  </si>
  <si>
    <t>001270</t>
  </si>
  <si>
    <t>부국증권</t>
  </si>
  <si>
    <t>₩163,432,736</t>
  </si>
  <si>
    <t>₩289,319,819,400</t>
  </si>
  <si>
    <t>006880</t>
  </si>
  <si>
    <t>신송홀딩스</t>
  </si>
  <si>
    <t>₩14,723,963,332</t>
  </si>
  <si>
    <t>₩87,178,683,460</t>
  </si>
  <si>
    <t>001275</t>
  </si>
  <si>
    <t>부국증권우</t>
  </si>
  <si>
    <t>₩17,002,986</t>
  </si>
  <si>
    <t>₩66,750,000,000</t>
  </si>
  <si>
    <t>119850</t>
  </si>
  <si>
    <t>지엔씨에너지</t>
  </si>
  <si>
    <t>₩672,250,387</t>
  </si>
  <si>
    <t>₩85,205,348,620</t>
  </si>
  <si>
    <t>304840</t>
  </si>
  <si>
    <t>피플바이오</t>
  </si>
  <si>
    <t>₩9,881,898,906</t>
  </si>
  <si>
    <t>₩87,837,617,560</t>
  </si>
  <si>
    <t>004840</t>
  </si>
  <si>
    <t>DRB동일</t>
  </si>
  <si>
    <t>₩2,432,893,425</t>
  </si>
  <si>
    <t>₩97,158,750,000</t>
  </si>
  <si>
    <t>215200</t>
  </si>
  <si>
    <t>메가스터디교육</t>
  </si>
  <si>
    <t>₩1,258,270,667</t>
  </si>
  <si>
    <t>₩495,156,456,000</t>
  </si>
  <si>
    <t>003540</t>
  </si>
  <si>
    <t>대신증권</t>
  </si>
  <si>
    <t>₩1,019,238,691</t>
  </si>
  <si>
    <t>₩856,547,258,000</t>
  </si>
  <si>
    <t>241560</t>
  </si>
  <si>
    <t>두산밥캣</t>
  </si>
  <si>
    <t>₩22,080,194,481</t>
  </si>
  <si>
    <t>₩3,989,916,806,800</t>
  </si>
  <si>
    <t>009070</t>
  </si>
  <si>
    <t>KCTC</t>
  </si>
  <si>
    <t>₩701,081,195</t>
  </si>
  <si>
    <t>₩125,850,000,000</t>
  </si>
  <si>
    <t>033230</t>
  </si>
  <si>
    <t>인성정보</t>
  </si>
  <si>
    <t>₩2,333,198,900</t>
  </si>
  <si>
    <t>₩99,666,844,740</t>
  </si>
  <si>
    <t>069330</t>
  </si>
  <si>
    <t>유아이디</t>
  </si>
  <si>
    <t>₩43,126,616</t>
  </si>
  <si>
    <t>₩18,590,329,210</t>
  </si>
  <si>
    <t>263770</t>
  </si>
  <si>
    <t>유에스티</t>
  </si>
  <si>
    <t>₩20,024,680</t>
  </si>
  <si>
    <t>₩50,125,863,780</t>
  </si>
  <si>
    <t>372170</t>
  </si>
  <si>
    <t>윤성에프앤씨</t>
  </si>
  <si>
    <t>₩1,788,152,545</t>
  </si>
  <si>
    <t>₩389,776,494,800</t>
  </si>
  <si>
    <t>009270</t>
  </si>
  <si>
    <t>신원</t>
  </si>
  <si>
    <t>₩577,022,522</t>
  </si>
  <si>
    <t>₩131,926,053,816</t>
  </si>
  <si>
    <t>063760</t>
  </si>
  <si>
    <t>이엘피</t>
  </si>
  <si>
    <t>₩69,112,863</t>
  </si>
  <si>
    <t>₩20,934,916,850</t>
  </si>
  <si>
    <t>323990</t>
  </si>
  <si>
    <t>박셀바이오</t>
  </si>
  <si>
    <t>₩1,342,371,755</t>
  </si>
  <si>
    <t>₩278,447,652,000</t>
  </si>
  <si>
    <t>143160</t>
  </si>
  <si>
    <t>아이디스</t>
  </si>
  <si>
    <t>₩203,144,537</t>
  </si>
  <si>
    <t>₩154,101,688,200</t>
  </si>
  <si>
    <t>039010</t>
  </si>
  <si>
    <t>현대에이치티</t>
  </si>
  <si>
    <t>₩102,579,272</t>
  </si>
  <si>
    <t>₩54,078,750,000</t>
  </si>
  <si>
    <t>014825</t>
  </si>
  <si>
    <t>동원시스템즈우</t>
  </si>
  <si>
    <t>₩2,139,657</t>
  </si>
  <si>
    <t>₩5,982,114,150</t>
  </si>
  <si>
    <t>477760</t>
  </si>
  <si>
    <t>DB금융스팩12호</t>
  </si>
  <si>
    <t>₩20,230,906</t>
  </si>
  <si>
    <t>₩12,351,600,000</t>
  </si>
  <si>
    <t>452300</t>
  </si>
  <si>
    <t>캡스톤파트너스</t>
  </si>
  <si>
    <t>₩252,121,895</t>
  </si>
  <si>
    <t>₩35,381,913,800</t>
  </si>
  <si>
    <t>445090</t>
  </si>
  <si>
    <t>에이직랜드</t>
  </si>
  <si>
    <t>₩65,045,600,369</t>
  </si>
  <si>
    <t>₩376,470,425,700</t>
  </si>
  <si>
    <t>048410</t>
  </si>
  <si>
    <t>현대바이오</t>
  </si>
  <si>
    <t>₩2,651,332,861</t>
  </si>
  <si>
    <t>₩641,526,104,880</t>
  </si>
  <si>
    <t>119500</t>
  </si>
  <si>
    <t>포메탈</t>
  </si>
  <si>
    <t>₩245,440,237</t>
  </si>
  <si>
    <t>₩33,172,249,600</t>
  </si>
  <si>
    <t>051160</t>
  </si>
  <si>
    <t>지어소프트</t>
  </si>
  <si>
    <t>₩318,904,240</t>
  </si>
  <si>
    <t>₩147,471,317,900</t>
  </si>
  <si>
    <t>009730</t>
  </si>
  <si>
    <t>이렘</t>
  </si>
  <si>
    <t>₩11,153,158,663</t>
  </si>
  <si>
    <t>₩59,873,806,200</t>
  </si>
  <si>
    <t>255440</t>
  </si>
  <si>
    <t>야스</t>
  </si>
  <si>
    <t>₩602,618,313</t>
  </si>
  <si>
    <t>₩127,315,500,000</t>
  </si>
  <si>
    <t>097870</t>
  </si>
  <si>
    <t>효성오앤비</t>
  </si>
  <si>
    <t>₩428,707,621</t>
  </si>
  <si>
    <t>₩51,789,000,000</t>
  </si>
  <si>
    <t>007770</t>
  </si>
  <si>
    <t>한일화학</t>
  </si>
  <si>
    <t>₩30,127,873</t>
  </si>
  <si>
    <t>₩39,452,400,000</t>
  </si>
  <si>
    <t>044490</t>
  </si>
  <si>
    <t>태웅</t>
  </si>
  <si>
    <t>₩759,665,632</t>
  </si>
  <si>
    <t>₩305,312,634,060</t>
  </si>
  <si>
    <t>066970</t>
  </si>
  <si>
    <t>엘앤에프</t>
  </si>
  <si>
    <t>₩48,653,555,695</t>
  </si>
  <si>
    <t>₩4,286,597,517,800</t>
  </si>
  <si>
    <t>075970</t>
  </si>
  <si>
    <t>동국알앤에스</t>
  </si>
  <si>
    <t>₩232,346,854</t>
  </si>
  <si>
    <t>₩45,540,000,000</t>
  </si>
  <si>
    <t>450940</t>
  </si>
  <si>
    <t>유안타제14호스팩</t>
  </si>
  <si>
    <t>₩9,474,739</t>
  </si>
  <si>
    <t>₩9,465,900,000</t>
  </si>
  <si>
    <t>054920</t>
  </si>
  <si>
    <t>한컴위드</t>
  </si>
  <si>
    <t>₩539,107,086</t>
  </si>
  <si>
    <t>₩69,414,019,260</t>
  </si>
  <si>
    <t>208370</t>
  </si>
  <si>
    <t>셀바스헬스케어</t>
  </si>
  <si>
    <t>₩2,400,313,443</t>
  </si>
  <si>
    <t>₩99,358,577,040</t>
  </si>
  <si>
    <t>336370</t>
  </si>
  <si>
    <t>솔루스첨단소재</t>
  </si>
  <si>
    <t>₩2,355,946,639</t>
  </si>
  <si>
    <t>₩738,686,458,880</t>
  </si>
  <si>
    <t>077360</t>
  </si>
  <si>
    <t>덕산하이메탈</t>
  </si>
  <si>
    <t>₩381,490,220</t>
  </si>
  <si>
    <t>₩202,876,213,930</t>
  </si>
  <si>
    <t>33637L</t>
  </si>
  <si>
    <t>솔루스첨단소재2우B</t>
  </si>
  <si>
    <t>₩28,787,820</t>
  </si>
  <si>
    <t>₩22,027,465,680</t>
  </si>
  <si>
    <t>011200</t>
  </si>
  <si>
    <t>HMM</t>
  </si>
  <si>
    <t>₩16,369,022,665</t>
  </si>
  <si>
    <t>₩11,797,372,062,000</t>
  </si>
  <si>
    <t>225430</t>
  </si>
  <si>
    <t>케이엠제약</t>
  </si>
  <si>
    <t>₩24,380,961</t>
  </si>
  <si>
    <t>₩19,799,805,500</t>
  </si>
  <si>
    <t>215380</t>
  </si>
  <si>
    <t>우정바이오</t>
  </si>
  <si>
    <t>₩774,589,140</t>
  </si>
  <si>
    <t>₩30,996,932,352</t>
  </si>
  <si>
    <t>013990</t>
  </si>
  <si>
    <t>아가방컴퍼니</t>
  </si>
  <si>
    <t>₩1,424,356,772</t>
  </si>
  <si>
    <t>₩135,825,523,680</t>
  </si>
  <si>
    <t>133750</t>
  </si>
  <si>
    <t>메가엠디</t>
  </si>
  <si>
    <t>₩169,308,631</t>
  </si>
  <si>
    <t>₩47,984,507,850</t>
  </si>
  <si>
    <t>079810</t>
  </si>
  <si>
    <t>디이엔티</t>
  </si>
  <si>
    <t>₩619,927,910</t>
  </si>
  <si>
    <t>₩144,944,858,520</t>
  </si>
  <si>
    <t>065060</t>
  </si>
  <si>
    <t>지엔코</t>
  </si>
  <si>
    <t>₩37,437,122</t>
  </si>
  <si>
    <t>₩33,266,477,552</t>
  </si>
  <si>
    <t>057050</t>
  </si>
  <si>
    <t>현대홈쇼핑</t>
  </si>
  <si>
    <t>₩460,420,074</t>
  </si>
  <si>
    <t>₩543,000,000,000</t>
  </si>
  <si>
    <t>200230</t>
  </si>
  <si>
    <t>텔콘RF제약</t>
  </si>
  <si>
    <t>₩1,224,358,047</t>
  </si>
  <si>
    <t>₩69,745,136,300</t>
  </si>
  <si>
    <t>028670</t>
  </si>
  <si>
    <t>팬오션</t>
  </si>
  <si>
    <t>₩4,847,309,139</t>
  </si>
  <si>
    <t>₩1,881,684,682,240</t>
  </si>
  <si>
    <t>001465</t>
  </si>
  <si>
    <t>BYC우</t>
  </si>
  <si>
    <t>₩76,120,186</t>
  </si>
  <si>
    <t>₩28,043,127,000</t>
  </si>
  <si>
    <t>005610</t>
  </si>
  <si>
    <t>SPC삼립</t>
  </si>
  <si>
    <t>₩248,352,393</t>
  </si>
  <si>
    <t>₩416,349,684,250</t>
  </si>
  <si>
    <t>003475</t>
  </si>
  <si>
    <t>유안타증권우</t>
  </si>
  <si>
    <t>₩53,849,583</t>
  </si>
  <si>
    <t>₩37,509,975,860</t>
  </si>
  <si>
    <t>402340</t>
  </si>
  <si>
    <t>SK스퀘어</t>
  </si>
  <si>
    <t>₩35,557,326,562</t>
  </si>
  <si>
    <t>₩12,477,846,296,000</t>
  </si>
  <si>
    <t>200130</t>
  </si>
  <si>
    <t>콜마비앤에이치</t>
  </si>
  <si>
    <t>₩1,075,679,580</t>
  </si>
  <si>
    <t>₩387,402,898,860</t>
  </si>
  <si>
    <t>004105</t>
  </si>
  <si>
    <t>태양금속우</t>
  </si>
  <si>
    <t>₩81,306,664</t>
  </si>
  <si>
    <t>₩16,731,000,000</t>
  </si>
  <si>
    <t>322510</t>
  </si>
  <si>
    <t>제이엘케이</t>
  </si>
  <si>
    <t>₩4,920,583,787</t>
  </si>
  <si>
    <t>₩187,382,067,280</t>
  </si>
  <si>
    <t>265520</t>
  </si>
  <si>
    <t>AP시스템</t>
  </si>
  <si>
    <t>₩1,917,341,977</t>
  </si>
  <si>
    <t>₩259,325,714,370</t>
  </si>
  <si>
    <t>067920</t>
  </si>
  <si>
    <t>이글루</t>
  </si>
  <si>
    <t>₩49,151,573</t>
  </si>
  <si>
    <t>₩54,815,653,215</t>
  </si>
  <si>
    <t>120240</t>
  </si>
  <si>
    <t>대정화금</t>
  </si>
  <si>
    <t>₩107,857,934</t>
  </si>
  <si>
    <t>₩94,769,353,380</t>
  </si>
  <si>
    <t>122870</t>
  </si>
  <si>
    <t>와이지엔터테인먼트</t>
  </si>
  <si>
    <t>₩16,459,082,402</t>
  </si>
  <si>
    <t>₩809,322,421,700</t>
  </si>
  <si>
    <t>038500</t>
  </si>
  <si>
    <t>삼표시멘트</t>
  </si>
  <si>
    <t>₩756,791,055</t>
  </si>
  <si>
    <t>₩339,396,782,370</t>
  </si>
  <si>
    <t>444920</t>
  </si>
  <si>
    <t>유안타제11호스팩</t>
  </si>
  <si>
    <t>₩9,839,352</t>
  </si>
  <si>
    <t>₩10,715,800,000</t>
  </si>
  <si>
    <t>228760</t>
  </si>
  <si>
    <t>지노믹트리</t>
  </si>
  <si>
    <t>₩3,266,879,086</t>
  </si>
  <si>
    <t>₩401,734,871,170</t>
  </si>
  <si>
    <t>238120</t>
  </si>
  <si>
    <t>얼라인드</t>
  </si>
  <si>
    <t>₩55,070,633</t>
  </si>
  <si>
    <t>₩42,489,637,680</t>
  </si>
  <si>
    <t>095570</t>
  </si>
  <si>
    <t>AJ네트웍스</t>
  </si>
  <si>
    <t>₩574,498,228</t>
  </si>
  <si>
    <t>₩210,651,593,145</t>
  </si>
  <si>
    <t>094820</t>
  </si>
  <si>
    <t>일진파워</t>
  </si>
  <si>
    <t>₩4,234,195,653</t>
  </si>
  <si>
    <t>₩154,104,405,980</t>
  </si>
  <si>
    <t>009290</t>
  </si>
  <si>
    <t>광동제약</t>
  </si>
  <si>
    <t>₩908,812,453</t>
  </si>
  <si>
    <t>₩294,080,974,110</t>
  </si>
  <si>
    <t>294630</t>
  </si>
  <si>
    <t>서남</t>
  </si>
  <si>
    <t>₩3,289,372,050</t>
  </si>
  <si>
    <t>₩81,530,160,600</t>
  </si>
  <si>
    <t>053030</t>
  </si>
  <si>
    <t>바이넥스</t>
  </si>
  <si>
    <t>₩27,369,973,089</t>
  </si>
  <si>
    <t>₩699,441,623,200</t>
  </si>
  <si>
    <t>207940</t>
  </si>
  <si>
    <t>삼성바이오로직스</t>
  </si>
  <si>
    <t>₩91,209,592,095</t>
  </si>
  <si>
    <t>₩71,672,218,000,000</t>
  </si>
  <si>
    <t>111770</t>
  </si>
  <si>
    <t>영원무역</t>
  </si>
  <si>
    <t>₩2,190,473,510</t>
  </si>
  <si>
    <t>₩1,772,458,720,000</t>
  </si>
  <si>
    <t>122350</t>
  </si>
  <si>
    <t>삼기</t>
  </si>
  <si>
    <t>₩565,396,126</t>
  </si>
  <si>
    <t>₩53,636,859,772</t>
  </si>
  <si>
    <t>071970</t>
  </si>
  <si>
    <t>HD현대마린엔진</t>
  </si>
  <si>
    <t>₩8,791,330,869</t>
  </si>
  <si>
    <t>₩673,341,675,750</t>
  </si>
  <si>
    <t>303530</t>
  </si>
  <si>
    <t>이노뎁</t>
  </si>
  <si>
    <t>₩574,902,273</t>
  </si>
  <si>
    <t>₩53,136,524,760</t>
  </si>
  <si>
    <t>023760</t>
  </si>
  <si>
    <t>한국캐피탈</t>
  </si>
  <si>
    <t>₩34,155,524</t>
  </si>
  <si>
    <t>₩176,425,752,984</t>
  </si>
  <si>
    <t>282880</t>
  </si>
  <si>
    <t>코윈테크</t>
  </si>
  <si>
    <t>₩8,258,972,177</t>
  </si>
  <si>
    <t>₩176,709,059,020</t>
  </si>
  <si>
    <t>299030</t>
  </si>
  <si>
    <t>하나기술</t>
  </si>
  <si>
    <t>₩860,262,898</t>
  </si>
  <si>
    <t>₩203,870,205,000</t>
  </si>
  <si>
    <t>372910</t>
  </si>
  <si>
    <t>한컴라이프케어</t>
  </si>
  <si>
    <t>₩1,359,678,733</t>
  </si>
  <si>
    <t>₩108,483,671,520</t>
  </si>
  <si>
    <t>082800</t>
  </si>
  <si>
    <t>비보존 제약</t>
  </si>
  <si>
    <t>₩10,479,689,861</t>
  </si>
  <si>
    <t>₩301,579,786,200</t>
  </si>
  <si>
    <t>264900</t>
  </si>
  <si>
    <t>크라운제과</t>
  </si>
  <si>
    <t>₩208,363,110</t>
  </si>
  <si>
    <t>₩104,323,670,500</t>
  </si>
  <si>
    <t>047310</t>
  </si>
  <si>
    <t>파워로직스</t>
  </si>
  <si>
    <t>₩1,041,679,662</t>
  </si>
  <si>
    <t>₩175,365,516,450</t>
  </si>
  <si>
    <t>357120</t>
  </si>
  <si>
    <t>코람코라이프인프라리츠</t>
  </si>
  <si>
    <t>₩672,045,643</t>
  </si>
  <si>
    <t>₩422,435,436,360</t>
  </si>
  <si>
    <t>023150</t>
  </si>
  <si>
    <t>MH에탄올</t>
  </si>
  <si>
    <t>₩16,368,314</t>
  </si>
  <si>
    <t>₩40,360,537,220</t>
  </si>
  <si>
    <t>247660</t>
  </si>
  <si>
    <t>나노씨엠에스</t>
  </si>
  <si>
    <t>₩112,285,223</t>
  </si>
  <si>
    <t>₩30,450,879,200</t>
  </si>
  <si>
    <t>073010</t>
  </si>
  <si>
    <t>케이에스피</t>
  </si>
  <si>
    <t>₩2,629,543,860</t>
  </si>
  <si>
    <t>₩175,434,806,250</t>
  </si>
  <si>
    <t>031980</t>
  </si>
  <si>
    <t>피에스케이홀딩스</t>
  </si>
  <si>
    <t>₩18,614,961,140</t>
  </si>
  <si>
    <t>₩860,339,560,500</t>
  </si>
  <si>
    <t>185750</t>
  </si>
  <si>
    <t>종근당</t>
  </si>
  <si>
    <t>₩3,317,653,886</t>
  </si>
  <si>
    <t>₩1,338,521,072,000</t>
  </si>
  <si>
    <t>009900</t>
  </si>
  <si>
    <t>명신산업</t>
  </si>
  <si>
    <t>₩2,688,411,236</t>
  </si>
  <si>
    <t>₩728,810,147,370</t>
  </si>
  <si>
    <t>059270</t>
  </si>
  <si>
    <t>해성에어로보틱스</t>
  </si>
  <si>
    <t>₩1,726,634,001</t>
  </si>
  <si>
    <t>₩57,597,930,830</t>
  </si>
  <si>
    <t>180640</t>
  </si>
  <si>
    <t>한진칼</t>
  </si>
  <si>
    <t>₩7,612,464,829</t>
  </si>
  <si>
    <t>₩5,200,781,534,100</t>
  </si>
  <si>
    <t>015360</t>
  </si>
  <si>
    <t>예스코홀딩스</t>
  </si>
  <si>
    <t>₩430,917,650</t>
  </si>
  <si>
    <t>₩306,600,000,000</t>
  </si>
  <si>
    <t>066130</t>
  </si>
  <si>
    <t>하츠</t>
  </si>
  <si>
    <t>₩275,164,683</t>
  </si>
  <si>
    <t>₩65,408,000,000</t>
  </si>
  <si>
    <t>376290</t>
  </si>
  <si>
    <t>씨유테크</t>
  </si>
  <si>
    <t>₩42,375,733</t>
  </si>
  <si>
    <t>₩54,208,525,000</t>
  </si>
  <si>
    <t>000520</t>
  </si>
  <si>
    <t>삼일제약</t>
  </si>
  <si>
    <t>₩9,112,640,939</t>
  </si>
  <si>
    <t>₩323,451,656,000</t>
  </si>
  <si>
    <t>126720</t>
  </si>
  <si>
    <t>수산인더스트리</t>
  </si>
  <si>
    <t>₩1,378,947,214</t>
  </si>
  <si>
    <t>₩331,435,200,000</t>
  </si>
  <si>
    <t>234340</t>
  </si>
  <si>
    <t>헥토파이낸셜</t>
  </si>
  <si>
    <t>₩502,490,471</t>
  </si>
  <si>
    <t>₩160,795,530,000</t>
  </si>
  <si>
    <t>347890</t>
  </si>
  <si>
    <t>엠투아이</t>
  </si>
  <si>
    <t>₩95,865,327</t>
  </si>
  <si>
    <t>₩94,206,546,280</t>
  </si>
  <si>
    <t>046210</t>
  </si>
  <si>
    <t>HLB파나진</t>
  </si>
  <si>
    <t>₩261,735,594</t>
  </si>
  <si>
    <t>₩117,603,689,700</t>
  </si>
  <si>
    <t>149980</t>
  </si>
  <si>
    <t>하이로닉</t>
  </si>
  <si>
    <t>₩6,999,839,577</t>
  </si>
  <si>
    <t>₩117,330,430,530</t>
  </si>
  <si>
    <t>267320</t>
  </si>
  <si>
    <t>나인테크</t>
  </si>
  <si>
    <t>₩604,506,729</t>
  </si>
  <si>
    <t>₩98,244,234,000</t>
  </si>
  <si>
    <t>074600</t>
  </si>
  <si>
    <t>원익QnC</t>
  </si>
  <si>
    <t>₩3,947,383,621</t>
  </si>
  <si>
    <t>₩561,248,800,000</t>
  </si>
  <si>
    <t>271980</t>
  </si>
  <si>
    <t>제일약품</t>
  </si>
  <si>
    <t>₩245,171,030</t>
  </si>
  <si>
    <t>₩202,486,087,440</t>
  </si>
  <si>
    <t>050760</t>
  </si>
  <si>
    <t>에스폴리텍</t>
  </si>
  <si>
    <t>₩44,603,118</t>
  </si>
  <si>
    <t>₩25,090,065,408</t>
  </si>
  <si>
    <t>419050</t>
  </si>
  <si>
    <t>삼기이브이</t>
  </si>
  <si>
    <t>₩3,654,777,349</t>
  </si>
  <si>
    <t>₩112,390,611,600</t>
  </si>
  <si>
    <t>007680</t>
  </si>
  <si>
    <t>대원</t>
  </si>
  <si>
    <t>₩24,130,520</t>
  </si>
  <si>
    <t>₩60,576,365,370</t>
  </si>
  <si>
    <t>003070</t>
  </si>
  <si>
    <t>코오롱글로벌</t>
  </si>
  <si>
    <t>₩268,369,636</t>
  </si>
  <si>
    <t>₩174,370,286,730</t>
  </si>
  <si>
    <t>051910</t>
  </si>
  <si>
    <t>LG화학</t>
  </si>
  <si>
    <t>₩93,852,360,881</t>
  </si>
  <si>
    <t>₩21,460,072,272,000</t>
  </si>
  <si>
    <t>419080</t>
  </si>
  <si>
    <t>엔젯</t>
  </si>
  <si>
    <t>₩315,577,534</t>
  </si>
  <si>
    <t>₩119,692,757,460</t>
  </si>
  <si>
    <t>458870</t>
  </si>
  <si>
    <t>씨어스테크놀로지</t>
  </si>
  <si>
    <t>₩1,252,310,948</t>
  </si>
  <si>
    <t>₩132,420,224,000</t>
  </si>
  <si>
    <t>452280</t>
  </si>
  <si>
    <t>한선엔지니어링</t>
  </si>
  <si>
    <t>₩2,552,487,645</t>
  </si>
  <si>
    <t>₩149,962,050,000</t>
  </si>
  <si>
    <t>001750</t>
  </si>
  <si>
    <t>한양증권</t>
  </si>
  <si>
    <t>₩428,046,218</t>
  </si>
  <si>
    <t>₩158,470,248,300</t>
  </si>
  <si>
    <t>006140</t>
  </si>
  <si>
    <t>피제이전자</t>
  </si>
  <si>
    <t>₩28,276,028</t>
  </si>
  <si>
    <t>₩75,300,000,000</t>
  </si>
  <si>
    <t>029960</t>
  </si>
  <si>
    <t>코엔텍</t>
  </si>
  <si>
    <t>₩3,054,034,745</t>
  </si>
  <si>
    <t>₩447,000,000,000</t>
  </si>
  <si>
    <t>042370</t>
  </si>
  <si>
    <t>비츠로테크</t>
  </si>
  <si>
    <t>₩2,593,581,499</t>
  </si>
  <si>
    <t>₩200,954,191,750</t>
  </si>
  <si>
    <t>000990</t>
  </si>
  <si>
    <t>DB하이텍</t>
  </si>
  <si>
    <t>₩7,423,947,233</t>
  </si>
  <si>
    <t>₩1,509,551,992,000</t>
  </si>
  <si>
    <t>356860</t>
  </si>
  <si>
    <t>티엘비</t>
  </si>
  <si>
    <t>₩4,627,229,592</t>
  </si>
  <si>
    <t>₩130,872,305,300</t>
  </si>
  <si>
    <t>252990</t>
  </si>
  <si>
    <t>샘씨엔에스</t>
  </si>
  <si>
    <t>₩1,457,716,651</t>
  </si>
  <si>
    <t>₩284,349,866,810</t>
  </si>
  <si>
    <t>222040</t>
  </si>
  <si>
    <t>코스맥스엔비티</t>
  </si>
  <si>
    <t>₩384,127,578</t>
  </si>
  <si>
    <t>₩72,919,980,000</t>
  </si>
  <si>
    <t>008470</t>
  </si>
  <si>
    <t>부스타</t>
  </si>
  <si>
    <t>₩8,994,873</t>
  </si>
  <si>
    <t>₩33,367,056,000</t>
  </si>
  <si>
    <t>196170</t>
  </si>
  <si>
    <t>알테오젠</t>
  </si>
  <si>
    <t>₩234,041,169,310</t>
  </si>
  <si>
    <t>₩23,753,537,874,000</t>
  </si>
  <si>
    <t>078070</t>
  </si>
  <si>
    <t>유비쿼스홀딩스</t>
  </si>
  <si>
    <t>₩81,461,929</t>
  </si>
  <si>
    <t>₩173,339,185,000</t>
  </si>
  <si>
    <t>131370</t>
  </si>
  <si>
    <t>알서포트</t>
  </si>
  <si>
    <t>₩162,651,779</t>
  </si>
  <si>
    <t>₩149,147,832,400</t>
  </si>
  <si>
    <t>420770</t>
  </si>
  <si>
    <t>기가비스</t>
  </si>
  <si>
    <t>₩1,148,696,362</t>
  </si>
  <si>
    <t>₩446,186,681,600</t>
  </si>
  <si>
    <t>950160</t>
  </si>
  <si>
    <t>코오롱티슈진</t>
  </si>
  <si>
    <t>₩3,258,634,180</t>
  </si>
  <si>
    <t>₩1,284,971,849,700</t>
  </si>
  <si>
    <t>005680</t>
  </si>
  <si>
    <t>삼영전자</t>
  </si>
  <si>
    <t>₩568,835,950</t>
  </si>
  <si>
    <t>₩208,000,000,000</t>
  </si>
  <si>
    <t>129890</t>
  </si>
  <si>
    <t>앱코</t>
  </si>
  <si>
    <t>₩193,896,048</t>
  </si>
  <si>
    <t>₩64,874,208,210</t>
  </si>
  <si>
    <t>012800</t>
  </si>
  <si>
    <t>대창</t>
  </si>
  <si>
    <t>₩417,359,357</t>
  </si>
  <si>
    <t>₩110,006,582,293</t>
  </si>
  <si>
    <t>011420</t>
  </si>
  <si>
    <t>갤럭시아에스엠</t>
  </si>
  <si>
    <t>₩4,769,097,904</t>
  </si>
  <si>
    <t>₩61,573,454,340</t>
  </si>
  <si>
    <t>035460</t>
  </si>
  <si>
    <t>기산텔레콤</t>
  </si>
  <si>
    <t>₩324,512,020</t>
  </si>
  <si>
    <t>₩25,218,798,200</t>
  </si>
  <si>
    <t>419120</t>
  </si>
  <si>
    <t>산돌</t>
  </si>
  <si>
    <t>₩668,887,811</t>
  </si>
  <si>
    <t>₩47,267,902,080</t>
  </si>
  <si>
    <t>006090</t>
  </si>
  <si>
    <t>사조오양</t>
  </si>
  <si>
    <t>₩91,362,430</t>
  </si>
  <si>
    <t>₩76,324,185,900</t>
  </si>
  <si>
    <t>445180</t>
  </si>
  <si>
    <t>퓨릿</t>
  </si>
  <si>
    <t>₩507,883,437</t>
  </si>
  <si>
    <t>₩103,633,581,840</t>
  </si>
  <si>
    <t>235980</t>
  </si>
  <si>
    <t>메드팩토</t>
  </si>
  <si>
    <t>₩1,151,144,837</t>
  </si>
  <si>
    <t>₩172,604,772,300</t>
  </si>
  <si>
    <t>473370</t>
  </si>
  <si>
    <t>비엔케이제2호스팩</t>
  </si>
  <si>
    <t>₩4,899,751</t>
  </si>
  <si>
    <t>₩8,504,200,000</t>
  </si>
  <si>
    <t>237820</t>
  </si>
  <si>
    <t>플레이디</t>
  </si>
  <si>
    <t>₩6,771,839,140</t>
  </si>
  <si>
    <t>₩80,169,625,000</t>
  </si>
  <si>
    <t>246690</t>
  </si>
  <si>
    <t>TS인베스트먼트</t>
  </si>
  <si>
    <t>₩60,776,426</t>
  </si>
  <si>
    <t>₩41,353,428,414</t>
  </si>
  <si>
    <t>005160</t>
  </si>
  <si>
    <t>동국산업</t>
  </si>
  <si>
    <t>₩1,692,762,583</t>
  </si>
  <si>
    <t>₩340,655,346,960</t>
  </si>
  <si>
    <t>112610</t>
  </si>
  <si>
    <t>씨에스윈드</t>
  </si>
  <si>
    <t>₩39,099,824,693</t>
  </si>
  <si>
    <t>₩1,931,450,257,400</t>
  </si>
  <si>
    <t>046120</t>
  </si>
  <si>
    <t>오르비텍</t>
  </si>
  <si>
    <t>₩409,143,225</t>
  </si>
  <si>
    <t>₩63,133,817,800</t>
  </si>
  <si>
    <t>102370</t>
  </si>
  <si>
    <t>케이옥션</t>
  </si>
  <si>
    <t>₩4,384,387,973</t>
  </si>
  <si>
    <t>₩113,273,513,600</t>
  </si>
  <si>
    <t>089600</t>
  </si>
  <si>
    <t>나스미디어</t>
  </si>
  <si>
    <t>₩433,333,563</t>
  </si>
  <si>
    <t>₩165,656,094,160</t>
  </si>
  <si>
    <t>126600</t>
  </si>
  <si>
    <t>BGF에코머티리얼즈</t>
  </si>
  <si>
    <t>₩177,395,386</t>
  </si>
  <si>
    <t>₩215,290,463,570</t>
  </si>
  <si>
    <t>263860</t>
  </si>
  <si>
    <t>지니언스</t>
  </si>
  <si>
    <t>₩139,576,455</t>
  </si>
  <si>
    <t>₩86,619,384,000</t>
  </si>
  <si>
    <t>066310</t>
  </si>
  <si>
    <t>큐에스아이</t>
  </si>
  <si>
    <t>₩307,603,948</t>
  </si>
  <si>
    <t>₩61,378,131,020</t>
  </si>
  <si>
    <t>019570</t>
  </si>
  <si>
    <t>플루토스</t>
  </si>
  <si>
    <t>₩158,120,773</t>
  </si>
  <si>
    <t>₩21,086,685,246</t>
  </si>
  <si>
    <t>079170</t>
  </si>
  <si>
    <t>한창산업</t>
  </si>
  <si>
    <t>₩272,233,549</t>
  </si>
  <si>
    <t>₩40,560,000,000</t>
  </si>
  <si>
    <t>446190</t>
  </si>
  <si>
    <t>미래에셋비전스팩2호</t>
  </si>
  <si>
    <t>₩20,313,764</t>
  </si>
  <si>
    <t>₩10,865,250,000</t>
  </si>
  <si>
    <t>249420</t>
  </si>
  <si>
    <t>일동제약</t>
  </si>
  <si>
    <t>₩1,355,332,606</t>
  </si>
  <si>
    <t>₩354,429,387,630</t>
  </si>
  <si>
    <t>037330</t>
  </si>
  <si>
    <t>인지디스플레</t>
  </si>
  <si>
    <t>₩31,584,703</t>
  </si>
  <si>
    <t>₩66,749,425,704</t>
  </si>
  <si>
    <t>058850</t>
  </si>
  <si>
    <t>KTcs</t>
  </si>
  <si>
    <t>₩4,298,946,510</t>
  </si>
  <si>
    <t>₩133,177,200,000</t>
  </si>
  <si>
    <t>066980</t>
  </si>
  <si>
    <t>한성크린텍</t>
  </si>
  <si>
    <t>₩3,959,402,371</t>
  </si>
  <si>
    <t>₩98,676,737,500</t>
  </si>
  <si>
    <t>317850</t>
  </si>
  <si>
    <t>대모</t>
  </si>
  <si>
    <t>₩6,117,373,355</t>
  </si>
  <si>
    <t>₩87,239,921,600</t>
  </si>
  <si>
    <t>040160</t>
  </si>
  <si>
    <t>누리플렉스</t>
  </si>
  <si>
    <t>₩31,436,996</t>
  </si>
  <si>
    <t>₩28,752,450,975</t>
  </si>
  <si>
    <t>038290</t>
  </si>
  <si>
    <t>마크로젠</t>
  </si>
  <si>
    <t>₩701,011,324</t>
  </si>
  <si>
    <t>₩179,967,240,000</t>
  </si>
  <si>
    <t>037560</t>
  </si>
  <si>
    <t>LG헬로비전</t>
  </si>
  <si>
    <t>₩221,644,709</t>
  </si>
  <si>
    <t>₩197,489,505,750</t>
  </si>
  <si>
    <t>089860</t>
  </si>
  <si>
    <t>롯데렌탈</t>
  </si>
  <si>
    <t>₩1,227,960,269</t>
  </si>
  <si>
    <t>₩1,049,565,904,950</t>
  </si>
  <si>
    <t>136480</t>
  </si>
  <si>
    <t>하림</t>
  </si>
  <si>
    <t>₩1,936,197,405</t>
  </si>
  <si>
    <t>₩301,104,505,170</t>
  </si>
  <si>
    <t>001360</t>
  </si>
  <si>
    <t>삼성제약</t>
  </si>
  <si>
    <t>₩1,035,355,337</t>
  </si>
  <si>
    <t>₩143,973,818,791</t>
  </si>
  <si>
    <t>201490</t>
  </si>
  <si>
    <t>미투온</t>
  </si>
  <si>
    <t>₩388,865,976</t>
  </si>
  <si>
    <t>₩63,609,561,950</t>
  </si>
  <si>
    <t>131970</t>
  </si>
  <si>
    <t>두산테스나</t>
  </si>
  <si>
    <t>₩1,850,791,179</t>
  </si>
  <si>
    <t>₩452,374,655,600</t>
  </si>
  <si>
    <t>005430</t>
  </si>
  <si>
    <t>한국공항</t>
  </si>
  <si>
    <t>₩573,608,600</t>
  </si>
  <si>
    <t>₩170,349,899,000</t>
  </si>
  <si>
    <t>004970</t>
  </si>
  <si>
    <t>신라교역</t>
  </si>
  <si>
    <t>₩92,273,982</t>
  </si>
  <si>
    <t>₩149,120,000,000</t>
  </si>
  <si>
    <t>023800</t>
  </si>
  <si>
    <t>인지컨트롤스</t>
  </si>
  <si>
    <t>₩324,019,760</t>
  </si>
  <si>
    <t>₩95,487,549,880</t>
  </si>
  <si>
    <t>472230</t>
  </si>
  <si>
    <t>에스케이증권제11호스팩</t>
  </si>
  <si>
    <t>₩9,194,762</t>
  </si>
  <si>
    <t>₩8,600,850,000</t>
  </si>
  <si>
    <t>006370</t>
  </si>
  <si>
    <t>대구백화점</t>
  </si>
  <si>
    <t>₩215,118,451</t>
  </si>
  <si>
    <t>₩78,673,111,970</t>
  </si>
  <si>
    <t>288330</t>
  </si>
  <si>
    <t>브릿지바이오테라퓨틱스</t>
  </si>
  <si>
    <t>₩8,641,200,724</t>
  </si>
  <si>
    <t>₩162,575,068,650</t>
  </si>
  <si>
    <t>007660</t>
  </si>
  <si>
    <t>이수페타시스</t>
  </si>
  <si>
    <t>₩126,173,142,474</t>
  </si>
  <si>
    <t>₩1,552,699,586,450</t>
  </si>
  <si>
    <t>005360</t>
  </si>
  <si>
    <t>모나미</t>
  </si>
  <si>
    <t>₩534,372,408</t>
  </si>
  <si>
    <t>₩40,251,263,910</t>
  </si>
  <si>
    <t>067730</t>
  </si>
  <si>
    <t>로지시스</t>
  </si>
  <si>
    <t>₩129,905,360</t>
  </si>
  <si>
    <t>₩24,958,718,760</t>
  </si>
  <si>
    <t>032190</t>
  </si>
  <si>
    <t>다우데이타</t>
  </si>
  <si>
    <t>₩396,962,455</t>
  </si>
  <si>
    <t>₩406,363,000,000</t>
  </si>
  <si>
    <t>253590</t>
  </si>
  <si>
    <t>네오셈</t>
  </si>
  <si>
    <t>₩26,092,031,623</t>
  </si>
  <si>
    <t>₩441,323,789,840</t>
  </si>
  <si>
    <t>069260</t>
  </si>
  <si>
    <t>TKG휴켐스</t>
  </si>
  <si>
    <t>₩1,070,168,743</t>
  </si>
  <si>
    <t>₩747,260,588,640</t>
  </si>
  <si>
    <t>00104K</t>
  </si>
  <si>
    <t>CJ4우(전환)</t>
  </si>
  <si>
    <t>₩644,389,390</t>
  </si>
  <si>
    <t>₩323,750,819,200</t>
  </si>
  <si>
    <t>009155</t>
  </si>
  <si>
    <t>삼성전기우</t>
  </si>
  <si>
    <t>₩383,874,981</t>
  </si>
  <si>
    <t>₩161,628,310,400</t>
  </si>
  <si>
    <t>030960</t>
  </si>
  <si>
    <t>양지사</t>
  </si>
  <si>
    <t>₩484,829,818</t>
  </si>
  <si>
    <t>₩146,217,000,000</t>
  </si>
  <si>
    <t>021050</t>
  </si>
  <si>
    <t>서원</t>
  </si>
  <si>
    <t>₩197,806,502</t>
  </si>
  <si>
    <t>₩57,301,830,130</t>
  </si>
  <si>
    <t>012450</t>
  </si>
  <si>
    <t>한화에어로스페이스</t>
  </si>
  <si>
    <t>₩141,662,161,524</t>
  </si>
  <si>
    <t>₩18,961,762,976,000</t>
  </si>
  <si>
    <t>126340</t>
  </si>
  <si>
    <t>비나텍</t>
  </si>
  <si>
    <t>₩676,661,493</t>
  </si>
  <si>
    <t>₩206,589,756,100</t>
  </si>
  <si>
    <t>102120</t>
  </si>
  <si>
    <t>어보브반도체</t>
  </si>
  <si>
    <t>₩1,397,230,132</t>
  </si>
  <si>
    <t>₩159,315,546,880</t>
  </si>
  <si>
    <t>084850</t>
  </si>
  <si>
    <t>아이티엠반도체</t>
  </si>
  <si>
    <t>₩364,013,752</t>
  </si>
  <si>
    <t>₩380,165,973,840</t>
  </si>
  <si>
    <t>036620</t>
  </si>
  <si>
    <t>감성코퍼레이션</t>
  </si>
  <si>
    <t>₩2,076,453,758</t>
  </si>
  <si>
    <t>₩287,230,859,260</t>
  </si>
  <si>
    <t>006920</t>
  </si>
  <si>
    <t>모헨즈</t>
  </si>
  <si>
    <t>₩35,525,372</t>
  </si>
  <si>
    <t>₩27,300,000,000</t>
  </si>
  <si>
    <t>900120</t>
  </si>
  <si>
    <t>씨엑스아이</t>
  </si>
  <si>
    <t>₩389,906,843</t>
  </si>
  <si>
    <t>₩23,445,071,910</t>
  </si>
  <si>
    <t>376930</t>
  </si>
  <si>
    <t>노을</t>
  </si>
  <si>
    <t>₩16,534,633,663</t>
  </si>
  <si>
    <t>₩96,616,561,900</t>
  </si>
  <si>
    <t>005300</t>
  </si>
  <si>
    <t>롯데칠성</t>
  </si>
  <si>
    <t>₩1,657,726,933</t>
  </si>
  <si>
    <t>₩1,044,802,338,400</t>
  </si>
  <si>
    <t>068760</t>
  </si>
  <si>
    <t>셀트리온제약</t>
  </si>
  <si>
    <t>₩5,278,142,467</t>
  </si>
  <si>
    <t>₩2,429,462,600,800</t>
  </si>
  <si>
    <t>376300</t>
  </si>
  <si>
    <t>디어유</t>
  </si>
  <si>
    <t>₩18,587,479,869</t>
  </si>
  <si>
    <t>₩918,676,312,200</t>
  </si>
  <si>
    <t>016100</t>
  </si>
  <si>
    <t>리더스코스메틱</t>
  </si>
  <si>
    <t>₩63,004,582</t>
  </si>
  <si>
    <t>₩53,864,521,080</t>
  </si>
  <si>
    <t>053610</t>
  </si>
  <si>
    <t>프로텍</t>
  </si>
  <si>
    <t>₩1,439,819,976</t>
  </si>
  <si>
    <t>₩324,500,000,000</t>
  </si>
  <si>
    <t>110790</t>
  </si>
  <si>
    <t>크리스에프앤씨</t>
  </si>
  <si>
    <t>₩59,330,879</t>
  </si>
  <si>
    <t>₩157,221,741,600</t>
  </si>
  <si>
    <t>251970</t>
  </si>
  <si>
    <t>펌텍코리아</t>
  </si>
  <si>
    <t>₩3,758,703,126</t>
  </si>
  <si>
    <t>₩476,780,000,000</t>
  </si>
  <si>
    <t>013120</t>
  </si>
  <si>
    <t>동원개발</t>
  </si>
  <si>
    <t>₩99,205,730</t>
  </si>
  <si>
    <t>₩227,020,250,000</t>
  </si>
  <si>
    <t>232680</t>
  </si>
  <si>
    <t>라온테크</t>
  </si>
  <si>
    <t>₩264,942,175</t>
  </si>
  <si>
    <t>₩89,995,800,120</t>
  </si>
  <si>
    <t>036670</t>
  </si>
  <si>
    <t>KCI</t>
  </si>
  <si>
    <t>₩75,445,388</t>
  </si>
  <si>
    <t>₩82,947,200,000</t>
  </si>
  <si>
    <t>108860</t>
  </si>
  <si>
    <t>셀바스AI</t>
  </si>
  <si>
    <t>₩3,118,605,026</t>
  </si>
  <si>
    <t>₩286,911,661,400</t>
  </si>
  <si>
    <t>065710</t>
  </si>
  <si>
    <t>서호전기</t>
  </si>
  <si>
    <t>₩258,834,805</t>
  </si>
  <si>
    <t>₩109,437,500,000</t>
  </si>
  <si>
    <t>001390</t>
  </si>
  <si>
    <t>KG케미칼</t>
  </si>
  <si>
    <t>₩554,629,628</t>
  </si>
  <si>
    <t>₩257,785,935,600</t>
  </si>
  <si>
    <t>041910</t>
  </si>
  <si>
    <t>폴라리스AI파마</t>
  </si>
  <si>
    <t>₩215,882,062</t>
  </si>
  <si>
    <t>₩78,039,288,460</t>
  </si>
  <si>
    <t>043590</t>
  </si>
  <si>
    <t>웰킵스하이텍</t>
  </si>
  <si>
    <t>₩25,563,488</t>
  </si>
  <si>
    <t>₩16,254,920,438</t>
  </si>
  <si>
    <t>046940</t>
  </si>
  <si>
    <t>우원개발</t>
  </si>
  <si>
    <t>₩893,455,533</t>
  </si>
  <si>
    <t>₩42,565,094,250</t>
  </si>
  <si>
    <t>296640</t>
  </si>
  <si>
    <t>이노룰스</t>
  </si>
  <si>
    <t>₩138,917,921</t>
  </si>
  <si>
    <t>₩27,651,865,680</t>
  </si>
  <si>
    <t>034300</t>
  </si>
  <si>
    <t>신세계건설</t>
  </si>
  <si>
    <t>₩596,508,648</t>
  </si>
  <si>
    <t>₩140,466,027,400</t>
  </si>
  <si>
    <t>086280</t>
  </si>
  <si>
    <t>현대글로비스</t>
  </si>
  <si>
    <t>₩21,340,090,957</t>
  </si>
  <si>
    <t>₩8,707,500,000,000</t>
  </si>
  <si>
    <t>012630</t>
  </si>
  <si>
    <t>HDC</t>
  </si>
  <si>
    <t>₩1,065,699,220</t>
  </si>
  <si>
    <t>₩693,003,963,600</t>
  </si>
  <si>
    <t>002380</t>
  </si>
  <si>
    <t>KCC</t>
  </si>
  <si>
    <t>₩8,549,421,143</t>
  </si>
  <si>
    <t>₩2,159,412,453,000</t>
  </si>
  <si>
    <t>204020</t>
  </si>
  <si>
    <t>그리티</t>
  </si>
  <si>
    <t>₩155,428,731</t>
  </si>
  <si>
    <t>₩56,614,278,300</t>
  </si>
  <si>
    <t>099440</t>
  </si>
  <si>
    <t>스맥</t>
  </si>
  <si>
    <t>₩2,773,261,696</t>
  </si>
  <si>
    <t>₩117,510,710,480</t>
  </si>
  <si>
    <t>036460</t>
  </si>
  <si>
    <t>한국가스공사</t>
  </si>
  <si>
    <t>₩34,587,511,112</t>
  </si>
  <si>
    <t>₩3,692,520,000,000</t>
  </si>
  <si>
    <t>378800</t>
  </si>
  <si>
    <t>샤페론</t>
  </si>
  <si>
    <t>₩36,668,736,367</t>
  </si>
  <si>
    <t>₩157,949,482,440</t>
  </si>
  <si>
    <t>000220</t>
  </si>
  <si>
    <t>유유제약</t>
  </si>
  <si>
    <t>₩205,032,648</t>
  </si>
  <si>
    <t>₩71,280,388,935</t>
  </si>
  <si>
    <t>050860</t>
  </si>
  <si>
    <t>아세아텍</t>
  </si>
  <si>
    <t>₩101,827,841</t>
  </si>
  <si>
    <t>₩52,087,500,000</t>
  </si>
  <si>
    <t>361670</t>
  </si>
  <si>
    <t>삼영에스앤씨</t>
  </si>
  <si>
    <t>₩1,230,734,608</t>
  </si>
  <si>
    <t>₩33,779,241,680</t>
  </si>
  <si>
    <t>009470</t>
  </si>
  <si>
    <t>삼화전기</t>
  </si>
  <si>
    <t>₩5,295,968,938</t>
  </si>
  <si>
    <t>₩227,846,099,000</t>
  </si>
  <si>
    <t>000720</t>
  </si>
  <si>
    <t>현대건설</t>
  </si>
  <si>
    <t>₩12,147,096,650</t>
  </si>
  <si>
    <t>₩3,195,910,455,500</t>
  </si>
  <si>
    <t>017800</t>
  </si>
  <si>
    <t>현대엘리베이</t>
  </si>
  <si>
    <t>₩5,187,021,571</t>
  </si>
  <si>
    <t>₩1,962,437,727,000</t>
  </si>
  <si>
    <t>042420</t>
  </si>
  <si>
    <t>네오위즈홀딩스</t>
  </si>
  <si>
    <t>₩213,041,701</t>
  </si>
  <si>
    <t>₩175,365,946,800</t>
  </si>
  <si>
    <t>091810</t>
  </si>
  <si>
    <t>티웨이항공</t>
  </si>
  <si>
    <t>₩43,345,567,335</t>
  </si>
  <si>
    <t>₩662,290,351,200</t>
  </si>
  <si>
    <t>361610</t>
  </si>
  <si>
    <t>SK아이이테크놀로지</t>
  </si>
  <si>
    <t>₩7,621,109,210</t>
  </si>
  <si>
    <t>₩2,067,630,168,000</t>
  </si>
  <si>
    <t>024890</t>
  </si>
  <si>
    <t>대원화성</t>
  </si>
  <si>
    <t>₩39,357,150</t>
  </si>
  <si>
    <t>₩41,414,148,608</t>
  </si>
  <si>
    <t>425290</t>
  </si>
  <si>
    <t>삼성스팩6호</t>
  </si>
  <si>
    <t>₩37,729,357</t>
  </si>
  <si>
    <t>₩11,619,600,000</t>
  </si>
  <si>
    <t>003495</t>
  </si>
  <si>
    <t>대한항공우</t>
  </si>
  <si>
    <t>₩54,306,126</t>
  </si>
  <si>
    <t>₩26,325,817,800</t>
  </si>
  <si>
    <t>290740</t>
  </si>
  <si>
    <t>액트로</t>
  </si>
  <si>
    <t>₩24,810,191</t>
  </si>
  <si>
    <t>₩54,250,409,290</t>
  </si>
  <si>
    <t>093050</t>
  </si>
  <si>
    <t>LF</t>
  </si>
  <si>
    <t>₩482,608,625</t>
  </si>
  <si>
    <t>₩426,026,800,000</t>
  </si>
  <si>
    <t>300120</t>
  </si>
  <si>
    <t>라온피플</t>
  </si>
  <si>
    <t>₩2,534,101,999</t>
  </si>
  <si>
    <t>₩89,280,851,360</t>
  </si>
  <si>
    <t>138360</t>
  </si>
  <si>
    <t>협진</t>
  </si>
  <si>
    <t>₩37,872,917</t>
  </si>
  <si>
    <t>₩37,469,892,200</t>
  </si>
  <si>
    <t>001040</t>
  </si>
  <si>
    <t>CJ</t>
  </si>
  <si>
    <t>₩7,173,628,443</t>
  </si>
  <si>
    <t>₩2,821,415,706,600</t>
  </si>
  <si>
    <t>005290</t>
  </si>
  <si>
    <t>동진쎄미켐</t>
  </si>
  <si>
    <t>₩10,937,735,971</t>
  </si>
  <si>
    <t>₩1,259,655,103,000</t>
  </si>
  <si>
    <t>054090</t>
  </si>
  <si>
    <t>삼진엘앤디</t>
  </si>
  <si>
    <t>₩75,067,293</t>
  </si>
  <si>
    <t>₩21,614,694,912</t>
  </si>
  <si>
    <t>005090</t>
  </si>
  <si>
    <t>SGC에너지</t>
  </si>
  <si>
    <t>₩964,985,626</t>
  </si>
  <si>
    <t>₩373,201,724,700</t>
  </si>
  <si>
    <t>448730</t>
  </si>
  <si>
    <t>삼성FN리츠</t>
  </si>
  <si>
    <t>₩355,523,429</t>
  </si>
  <si>
    <t>₩396,522,750,000</t>
  </si>
  <si>
    <t>004770</t>
  </si>
  <si>
    <t>써니전자</t>
  </si>
  <si>
    <t>₩171,711,758</t>
  </si>
  <si>
    <t>₩60,706,570,136</t>
  </si>
  <si>
    <t>143540</t>
  </si>
  <si>
    <t>영우디에스피</t>
  </si>
  <si>
    <t>₩259,661,731</t>
  </si>
  <si>
    <t>₩30,327,928,600</t>
  </si>
  <si>
    <t>043650</t>
  </si>
  <si>
    <t>국순당</t>
  </si>
  <si>
    <t>₩1,695,536,740</t>
  </si>
  <si>
    <t>₩86,523,482,880</t>
  </si>
  <si>
    <t>080520</t>
  </si>
  <si>
    <t>오디텍</t>
  </si>
  <si>
    <t>₩41,451,629</t>
  </si>
  <si>
    <t>₩39,586,072,330</t>
  </si>
  <si>
    <t>053700</t>
  </si>
  <si>
    <t>삼보모터스</t>
  </si>
  <si>
    <t>₩119,073,251</t>
  </si>
  <si>
    <t>₩94,025,250,900</t>
  </si>
  <si>
    <t>009310</t>
  </si>
  <si>
    <t>참엔지니어링</t>
  </si>
  <si>
    <t>₩53,825,317</t>
  </si>
  <si>
    <t>₩30,891,740,516</t>
  </si>
  <si>
    <t>111710</t>
  </si>
  <si>
    <t>남화산업</t>
  </si>
  <si>
    <t>₩49,857,842</t>
  </si>
  <si>
    <t>₩111,792,840,000</t>
  </si>
  <si>
    <t>032350</t>
  </si>
  <si>
    <t>롯데관광개발</t>
  </si>
  <si>
    <t>₩2,563,528,464</t>
  </si>
  <si>
    <t>₩662,906,792,100</t>
  </si>
  <si>
    <t>327260</t>
  </si>
  <si>
    <t>RF머트리얼즈</t>
  </si>
  <si>
    <t>₩746,840,584</t>
  </si>
  <si>
    <t>₩57,598,967,730</t>
  </si>
  <si>
    <t>053690</t>
  </si>
  <si>
    <t>한미글로벌</t>
  </si>
  <si>
    <t>₩1,134,874,421</t>
  </si>
  <si>
    <t>₩172,143,110,500</t>
  </si>
  <si>
    <t>098120</t>
  </si>
  <si>
    <t>마이크로컨텍솔</t>
  </si>
  <si>
    <t>₩128,018,294</t>
  </si>
  <si>
    <t>₩43,226,383,200</t>
  </si>
  <si>
    <t>010130</t>
  </si>
  <si>
    <t>고려아연</t>
  </si>
  <si>
    <t>₩210,269,740,571</t>
  </si>
  <si>
    <t>₩23,291,193,375,000</t>
  </si>
  <si>
    <t>285130</t>
  </si>
  <si>
    <t>SK케미칼</t>
  </si>
  <si>
    <t>₩1,301,235,543</t>
  </si>
  <si>
    <t>₩772,969,478,400</t>
  </si>
  <si>
    <t>358570</t>
  </si>
  <si>
    <t>지아이이노베이션</t>
  </si>
  <si>
    <t>₩13,042,439,615</t>
  </si>
  <si>
    <t>₩595,613,914,170</t>
  </si>
  <si>
    <t>006110</t>
  </si>
  <si>
    <t>삼아알미늄</t>
  </si>
  <si>
    <t>₩2,969,877,950</t>
  </si>
  <si>
    <t>₩649,531,091,400</t>
  </si>
  <si>
    <t>109610</t>
  </si>
  <si>
    <t>에스와이</t>
  </si>
  <si>
    <t>₩6,392,668,580</t>
  </si>
  <si>
    <t>₩211,279,968,000</t>
  </si>
  <si>
    <t>001940</t>
  </si>
  <si>
    <t>KISCO홀딩스</t>
  </si>
  <si>
    <t>₩290,977,274</t>
  </si>
  <si>
    <t>₩348,600,989,000</t>
  </si>
  <si>
    <t>024740</t>
  </si>
  <si>
    <t>한일단조</t>
  </si>
  <si>
    <t>₩37,516,606,844</t>
  </si>
  <si>
    <t>₩87,835,120,830</t>
  </si>
  <si>
    <t>419540</t>
  </si>
  <si>
    <t>비스토스</t>
  </si>
  <si>
    <t>₩303,317,290</t>
  </si>
  <si>
    <t>₩42,306,220,240</t>
  </si>
  <si>
    <t>004710</t>
  </si>
  <si>
    <t>한솔테크닉스</t>
  </si>
  <si>
    <t>₩321,643,877</t>
  </si>
  <si>
    <t>₩137,269,728,450</t>
  </si>
  <si>
    <t>013310</t>
  </si>
  <si>
    <t>아진산업</t>
  </si>
  <si>
    <t>₩1,039,477,775</t>
  </si>
  <si>
    <t>₩106,136,001,770</t>
  </si>
  <si>
    <t>016250</t>
  </si>
  <si>
    <t>SGC E&amp;C</t>
  </si>
  <si>
    <t>₩34,544,720</t>
  </si>
  <si>
    <t>₩48,005,058,000</t>
  </si>
  <si>
    <t>046970</t>
  </si>
  <si>
    <t>우리로</t>
  </si>
  <si>
    <t>₩1,323,991,981</t>
  </si>
  <si>
    <t>₩52,151,748,810</t>
  </si>
  <si>
    <t>123410</t>
  </si>
  <si>
    <t>코리아에프티</t>
  </si>
  <si>
    <t>₩1,521,877,038</t>
  </si>
  <si>
    <t>₩141,432,605,120</t>
  </si>
  <si>
    <t>199820</t>
  </si>
  <si>
    <t>제일일렉트릭</t>
  </si>
  <si>
    <t>₩12,691,917,892</t>
  </si>
  <si>
    <t>₩222,644,400,000</t>
  </si>
  <si>
    <t>021320</t>
  </si>
  <si>
    <t>KCC건설</t>
  </si>
  <si>
    <t>₩39,053,394</t>
  </si>
  <si>
    <t>₩87,847,000,000</t>
  </si>
  <si>
    <t>068100</t>
  </si>
  <si>
    <t>케이웨더</t>
  </si>
  <si>
    <t>₩603,425,857</t>
  </si>
  <si>
    <t>₩32,005,557,080</t>
  </si>
  <si>
    <t>001520</t>
  </si>
  <si>
    <t>동양</t>
  </si>
  <si>
    <t>₩75,554,137</t>
  </si>
  <si>
    <t>₩180,683,835,691</t>
  </si>
  <si>
    <t>010100</t>
  </si>
  <si>
    <t>한국무브넥스</t>
  </si>
  <si>
    <t>₩252,959,055</t>
  </si>
  <si>
    <t>₩104,749,444,800</t>
  </si>
  <si>
    <t>027360</t>
  </si>
  <si>
    <t>아주IB투자</t>
  </si>
  <si>
    <t>₩505,498,871</t>
  </si>
  <si>
    <t>₩253,985,352,600</t>
  </si>
  <si>
    <t>001530</t>
  </si>
  <si>
    <t>DI동일</t>
  </si>
  <si>
    <t>₩3,373,999,840</t>
  </si>
  <si>
    <t>₩978,368,073,600</t>
  </si>
  <si>
    <t>348150</t>
  </si>
  <si>
    <t>고바이오랩</t>
  </si>
  <si>
    <t>₩5,579,766,041</t>
  </si>
  <si>
    <t>₩121,667,778,000</t>
  </si>
  <si>
    <t>127120</t>
  </si>
  <si>
    <t>디엔에이링크</t>
  </si>
  <si>
    <t>₩486,781,501</t>
  </si>
  <si>
    <t>₩84,426,830,465</t>
  </si>
  <si>
    <t>012690</t>
  </si>
  <si>
    <t>모나리자</t>
  </si>
  <si>
    <t>₩3,676,635,714</t>
  </si>
  <si>
    <t>₩113,553,746,775</t>
  </si>
  <si>
    <t>253840</t>
  </si>
  <si>
    <t>수젠텍</t>
  </si>
  <si>
    <t>₩5,041,269,817</t>
  </si>
  <si>
    <t>₩97,780,288,000</t>
  </si>
  <si>
    <t>000157</t>
  </si>
  <si>
    <t>두산2우B</t>
  </si>
  <si>
    <t>₩207,087,262</t>
  </si>
  <si>
    <t>₩92,250,825,400</t>
  </si>
  <si>
    <t>223310</t>
  </si>
  <si>
    <t>딥마인드</t>
  </si>
  <si>
    <t>₩338,578,719</t>
  </si>
  <si>
    <t>₩51,274,396,875</t>
  </si>
  <si>
    <t>049630</t>
  </si>
  <si>
    <t>재영솔루텍</t>
  </si>
  <si>
    <t>₩213,254,798</t>
  </si>
  <si>
    <t>₩57,721,406,970</t>
  </si>
  <si>
    <t>348350</t>
  </si>
  <si>
    <t>위드텍</t>
  </si>
  <si>
    <t>₩333,512,560</t>
  </si>
  <si>
    <t>₩75,562,312,000</t>
  </si>
  <si>
    <t>001720</t>
  </si>
  <si>
    <t>신영증권</t>
  </si>
  <si>
    <t>₩175,846,819</t>
  </si>
  <si>
    <t>₩1,315,200,000,000</t>
  </si>
  <si>
    <t>033500</t>
  </si>
  <si>
    <t>동성화인텍</t>
  </si>
  <si>
    <t>₩2,223,015,531</t>
  </si>
  <si>
    <t>₩373,369,200,300</t>
  </si>
  <si>
    <t>025880</t>
  </si>
  <si>
    <t>케이씨피드</t>
  </si>
  <si>
    <t>₩471,182,731</t>
  </si>
  <si>
    <t>₩52,654,952,700</t>
  </si>
  <si>
    <t>019180</t>
  </si>
  <si>
    <t>티에이치엔</t>
  </si>
  <si>
    <t>₩183,685,591</t>
  </si>
  <si>
    <t>₩55,620,000,000</t>
  </si>
  <si>
    <t>181710</t>
  </si>
  <si>
    <t>NHN</t>
  </si>
  <si>
    <t>₩755,893,198</t>
  </si>
  <si>
    <t>₩533,167,082,170</t>
  </si>
  <si>
    <t>388050</t>
  </si>
  <si>
    <t>지투파워</t>
  </si>
  <si>
    <t>₩38,749,863,039</t>
  </si>
  <si>
    <t>₩161,275,346,940</t>
  </si>
  <si>
    <t>417500</t>
  </si>
  <si>
    <t>제이아이테크</t>
  </si>
  <si>
    <t>₩200,866,293</t>
  </si>
  <si>
    <t>₩101,796,630,120</t>
  </si>
  <si>
    <t>122990</t>
  </si>
  <si>
    <t>와이솔</t>
  </si>
  <si>
    <t>₩284,682,283</t>
  </si>
  <si>
    <t>₩175,040,903,610</t>
  </si>
  <si>
    <t>171010</t>
  </si>
  <si>
    <t>램테크놀러지</t>
  </si>
  <si>
    <t>₩129,800,938</t>
  </si>
  <si>
    <t>₩48,401,275,520</t>
  </si>
  <si>
    <t>348030</t>
  </si>
  <si>
    <t>모비릭스</t>
  </si>
  <si>
    <t>₩64,620,728</t>
  </si>
  <si>
    <t>₩51,572,406,000</t>
  </si>
  <si>
    <t>036800</t>
  </si>
  <si>
    <t>나이스정보통신</t>
  </si>
  <si>
    <t>₩70,169,312</t>
  </si>
  <si>
    <t>₩188,300,000,000</t>
  </si>
  <si>
    <t>095500</t>
  </si>
  <si>
    <t>미래나노텍</t>
  </si>
  <si>
    <t>₩1,602,324,691</t>
  </si>
  <si>
    <t>₩287,152,590,740</t>
  </si>
  <si>
    <t>012620</t>
  </si>
  <si>
    <t>원일특강</t>
  </si>
  <si>
    <t>₩45,051,239</t>
  </si>
  <si>
    <t>₩32,296,000,000</t>
  </si>
  <si>
    <t>001200</t>
  </si>
  <si>
    <t>유진투자증권</t>
  </si>
  <si>
    <t>₩2,736,495,592</t>
  </si>
  <si>
    <t>₩351,625,097,340</t>
  </si>
  <si>
    <t>339770</t>
  </si>
  <si>
    <t>교촌에프앤비</t>
  </si>
  <si>
    <t>₩1,199,513,787</t>
  </si>
  <si>
    <t>₩216,848,447,200</t>
  </si>
  <si>
    <t>171120</t>
  </si>
  <si>
    <t>라이온켐텍</t>
  </si>
  <si>
    <t>₩2,446,487,749</t>
  </si>
  <si>
    <t>₩99,806,892,800</t>
  </si>
  <si>
    <t>251370</t>
  </si>
  <si>
    <t>와이엠티</t>
  </si>
  <si>
    <t>₩160,094,942</t>
  </si>
  <si>
    <t>₩136,715,208,320</t>
  </si>
  <si>
    <t>041520</t>
  </si>
  <si>
    <t>이엘씨</t>
  </si>
  <si>
    <t>₩46,504,319</t>
  </si>
  <si>
    <t>₩64,234,607,100</t>
  </si>
  <si>
    <t>352820</t>
  </si>
  <si>
    <t>하이브</t>
  </si>
  <si>
    <t>₩35,994,410,610</t>
  </si>
  <si>
    <t>₩8,330,419,400,000</t>
  </si>
  <si>
    <t>079160</t>
  </si>
  <si>
    <t>CJ CGV</t>
  </si>
  <si>
    <t>₩1,386,470,165</t>
  </si>
  <si>
    <t>₩895,788,184,110</t>
  </si>
  <si>
    <t>083930</t>
  </si>
  <si>
    <t>아바코</t>
  </si>
  <si>
    <t>₩1,007,797,983</t>
  </si>
  <si>
    <t>₩223,542,842,020</t>
  </si>
  <si>
    <t>373170</t>
  </si>
  <si>
    <t>엠아이큐브솔루션</t>
  </si>
  <si>
    <t>₩106,728,883</t>
  </si>
  <si>
    <t>₩37,532,578,500</t>
  </si>
  <si>
    <t>035150</t>
  </si>
  <si>
    <t>백산</t>
  </si>
  <si>
    <t>₩863,078,950</t>
  </si>
  <si>
    <t>₩276,705,000,000</t>
  </si>
  <si>
    <t>086670</t>
  </si>
  <si>
    <t>비엠티</t>
  </si>
  <si>
    <t>₩94,022,896</t>
  </si>
  <si>
    <t>₩81,214,048,600</t>
  </si>
  <si>
    <t>049120</t>
  </si>
  <si>
    <t>파인디앤씨</t>
  </si>
  <si>
    <t>₩39,447,774</t>
  </si>
  <si>
    <t>₩53,464,947,672</t>
  </si>
  <si>
    <t>060380</t>
  </si>
  <si>
    <t>동양에스텍</t>
  </si>
  <si>
    <t>₩24,351,818</t>
  </si>
  <si>
    <t>₩27,717,900,000</t>
  </si>
  <si>
    <t>239340</t>
  </si>
  <si>
    <t>이스트에이드</t>
  </si>
  <si>
    <t>₩32,976,700</t>
  </si>
  <si>
    <t>₩45,514,642,558</t>
  </si>
  <si>
    <t>394280</t>
  </si>
  <si>
    <t>오픈엣지테크놀로지</t>
  </si>
  <si>
    <t>₩1,622,512,133</t>
  </si>
  <si>
    <t>₩230,549,398,780</t>
  </si>
  <si>
    <t>106240</t>
  </si>
  <si>
    <t>파인테크닉스</t>
  </si>
  <si>
    <t>₩44,441,647</t>
  </si>
  <si>
    <t>₩15,938,980,057</t>
  </si>
  <si>
    <t>086820</t>
  </si>
  <si>
    <t>바이오솔루션</t>
  </si>
  <si>
    <t>₩349,518,540</t>
  </si>
  <si>
    <t>₩146,418,799,480</t>
  </si>
  <si>
    <t>035810</t>
  </si>
  <si>
    <t>이지홀딩스</t>
  </si>
  <si>
    <t>₩263,014,647</t>
  </si>
  <si>
    <t>₩182,734,095,225</t>
  </si>
  <si>
    <t>092130</t>
  </si>
  <si>
    <t>이크레더블</t>
  </si>
  <si>
    <t>₩50,987,368</t>
  </si>
  <si>
    <t>₩154,037,644,000</t>
  </si>
  <si>
    <t>335810</t>
  </si>
  <si>
    <t>프리시젼바이오</t>
  </si>
  <si>
    <t>₩108,356,485</t>
  </si>
  <si>
    <t>₩39,663,606,290</t>
  </si>
  <si>
    <t>052790</t>
  </si>
  <si>
    <t>액토즈소프트</t>
  </si>
  <si>
    <t>₩629,215,617</t>
  </si>
  <si>
    <t>₩71,836,244,920</t>
  </si>
  <si>
    <t>052300</t>
  </si>
  <si>
    <t>씨티프라퍼티</t>
  </si>
  <si>
    <t>₩49,575,275</t>
  </si>
  <si>
    <t>₩61,726,424,478</t>
  </si>
  <si>
    <t>213420</t>
  </si>
  <si>
    <t>덕산네오룩스</t>
  </si>
  <si>
    <t>₩3,582,425,231</t>
  </si>
  <si>
    <t>₩607,122,326,550</t>
  </si>
  <si>
    <t>253450</t>
  </si>
  <si>
    <t>스튜디오드래곤</t>
  </si>
  <si>
    <t>₩3,244,977,681</t>
  </si>
  <si>
    <t>₩1,164,766,797,500</t>
  </si>
  <si>
    <t>043340</t>
  </si>
  <si>
    <t>에쎈테크</t>
  </si>
  <si>
    <t>₩8,303,048</t>
  </si>
  <si>
    <t>₩43,510,000,000</t>
  </si>
  <si>
    <t>024090</t>
  </si>
  <si>
    <t>디씨엠</t>
  </si>
  <si>
    <t>₩39,394,637</t>
  </si>
  <si>
    <t>₩134,406,000,000</t>
  </si>
  <si>
    <t>093190</t>
  </si>
  <si>
    <t>빅솔론</t>
  </si>
  <si>
    <t>₩54,905,473</t>
  </si>
  <si>
    <t>₩83,304,458,650</t>
  </si>
  <si>
    <t>021045</t>
  </si>
  <si>
    <t>대호특수강우</t>
  </si>
  <si>
    <t>₩1,113,977</t>
  </si>
  <si>
    <t>₩2,910,327,560</t>
  </si>
  <si>
    <t>396690</t>
  </si>
  <si>
    <t>미래에셋글로벌리츠</t>
  </si>
  <si>
    <t>₩173,863,481</t>
  </si>
  <si>
    <t>₩106,936,038,000</t>
  </si>
  <si>
    <t>452260</t>
  </si>
  <si>
    <t>한화갤러리아</t>
  </si>
  <si>
    <t>₩428,498,268</t>
  </si>
  <si>
    <t>₩243,487,670,160</t>
  </si>
  <si>
    <t>178920</t>
  </si>
  <si>
    <t>PI첨단소재</t>
  </si>
  <si>
    <t>₩1,529,780,157</t>
  </si>
  <si>
    <t>₩505,100,738,400</t>
  </si>
  <si>
    <t>00680K</t>
  </si>
  <si>
    <t>미래에셋증권2우B</t>
  </si>
  <si>
    <t>₩644,237,197</t>
  </si>
  <si>
    <t>₩566,300,000,000</t>
  </si>
  <si>
    <t>038880</t>
  </si>
  <si>
    <t>아이에이</t>
  </si>
  <si>
    <t>₩100,464,215</t>
  </si>
  <si>
    <t>₩60,544,262,784</t>
  </si>
  <si>
    <t>469900</t>
  </si>
  <si>
    <t>하나31호스팩</t>
  </si>
  <si>
    <t>₩22,207,335</t>
  </si>
  <si>
    <t>₩11,574,325,000</t>
  </si>
  <si>
    <t>042600</t>
  </si>
  <si>
    <t>새로닉스</t>
  </si>
  <si>
    <t>₩221,039,242</t>
  </si>
  <si>
    <t>₩167,594,013,260</t>
  </si>
  <si>
    <t>002690</t>
  </si>
  <si>
    <t>동일제강</t>
  </si>
  <si>
    <t>₩11,591,980</t>
  </si>
  <si>
    <t>₩28,440,804,360</t>
  </si>
  <si>
    <t>310870</t>
  </si>
  <si>
    <t>디와이씨</t>
  </si>
  <si>
    <t>₩174,320,852</t>
  </si>
  <si>
    <t>₩28,196,750,373</t>
  </si>
  <si>
    <t>900140</t>
  </si>
  <si>
    <t>엘브이엠씨홀딩스</t>
  </si>
  <si>
    <t>₩944,414,903</t>
  </si>
  <si>
    <t>₩342,833,645,178</t>
  </si>
  <si>
    <t>013360</t>
  </si>
  <si>
    <t>일성건설</t>
  </si>
  <si>
    <t>₩200,045,511</t>
  </si>
  <si>
    <t>₩72,825,538,240</t>
  </si>
  <si>
    <t>289080</t>
  </si>
  <si>
    <t>SV인베스트먼트</t>
  </si>
  <si>
    <t>₩152,070,870</t>
  </si>
  <si>
    <t>₩83,577,380,000</t>
  </si>
  <si>
    <t>161000</t>
  </si>
  <si>
    <t>애경케미칼</t>
  </si>
  <si>
    <t>₩2,158,174,788</t>
  </si>
  <si>
    <t>₩483,568,167,460</t>
  </si>
  <si>
    <t>376980</t>
  </si>
  <si>
    <t>원티드랩</t>
  </si>
  <si>
    <t>₩72,360,526</t>
  </si>
  <si>
    <t>₩45,019,297,310</t>
  </si>
  <si>
    <t>003690</t>
  </si>
  <si>
    <t>코리안리</t>
  </si>
  <si>
    <t>₩2,133,178,317</t>
  </si>
  <si>
    <t>₩1,313,018,156,440</t>
  </si>
  <si>
    <t>054410</t>
  </si>
  <si>
    <t>케이피티유</t>
  </si>
  <si>
    <t>₩12,787,040</t>
  </si>
  <si>
    <t>₩20,901,520,600</t>
  </si>
  <si>
    <t>018670</t>
  </si>
  <si>
    <t>SK가스</t>
  </si>
  <si>
    <t>₩1,819,631,038</t>
  </si>
  <si>
    <t>₩1,938,351,240,000</t>
  </si>
  <si>
    <t>006220</t>
  </si>
  <si>
    <t>제주은행</t>
  </si>
  <si>
    <t>₩948,739,741</t>
  </si>
  <si>
    <t>₩262,492,083,580</t>
  </si>
  <si>
    <t>014580</t>
  </si>
  <si>
    <t>태경비케이</t>
  </si>
  <si>
    <t>₩208,950,474</t>
  </si>
  <si>
    <t>₩123,710,203,500</t>
  </si>
  <si>
    <t>040350</t>
  </si>
  <si>
    <t>크레오에스지</t>
  </si>
  <si>
    <t>₩988,465,001</t>
  </si>
  <si>
    <t>₩92,917,266,546</t>
  </si>
  <si>
    <t>084680</t>
  </si>
  <si>
    <t>이월드</t>
  </si>
  <si>
    <t>₩1,917,263,383</t>
  </si>
  <si>
    <t>₩230,576,869,818</t>
  </si>
  <si>
    <t>095610</t>
  </si>
  <si>
    <t>테스</t>
  </si>
  <si>
    <t>₩1,170,915,764</t>
  </si>
  <si>
    <t>₩308,582,007,860</t>
  </si>
  <si>
    <t>043220</t>
  </si>
  <si>
    <t>티에스넥스젠</t>
  </si>
  <si>
    <t>₩365,723,139</t>
  </si>
  <si>
    <t>₩71,965,427,490</t>
  </si>
  <si>
    <t>214330</t>
  </si>
  <si>
    <t>금호에이치티</t>
  </si>
  <si>
    <t>₩419,817,769</t>
  </si>
  <si>
    <t>₩124,070,195,980</t>
  </si>
  <si>
    <t>036580</t>
  </si>
  <si>
    <t>팜스코</t>
  </si>
  <si>
    <t>₩91,971,017</t>
  </si>
  <si>
    <t>₩76,026,842,010</t>
  </si>
  <si>
    <t>012030</t>
  </si>
  <si>
    <t>DB</t>
  </si>
  <si>
    <t>₩1,585,418,602</t>
  </si>
  <si>
    <t>₩296,731,551,175</t>
  </si>
  <si>
    <t>142280</t>
  </si>
  <si>
    <t>녹십자엠에스</t>
  </si>
  <si>
    <t>₩640,670,873</t>
  </si>
  <si>
    <t>₩85,771,898,070</t>
  </si>
  <si>
    <t>115440</t>
  </si>
  <si>
    <t>우리넷</t>
  </si>
  <si>
    <t>₩4,829,483,850</t>
  </si>
  <si>
    <t>₩88,722,471,750</t>
  </si>
  <si>
    <t>078150</t>
  </si>
  <si>
    <t>HB테크놀러지</t>
  </si>
  <si>
    <t>₩4,447,090,401</t>
  </si>
  <si>
    <t>₩193,776,264,440</t>
  </si>
  <si>
    <t>004410</t>
  </si>
  <si>
    <t>서울식품</t>
  </si>
  <si>
    <t>₩118,554,550</t>
  </si>
  <si>
    <t>₩56,213,333,850</t>
  </si>
  <si>
    <t>051980</t>
  </si>
  <si>
    <t>중앙첨단소재</t>
  </si>
  <si>
    <t>₩25,170,714,120</t>
  </si>
  <si>
    <t>₩1,019,602,230,600</t>
  </si>
  <si>
    <t>104830</t>
  </si>
  <si>
    <t>원익머트리얼즈</t>
  </si>
  <si>
    <t>₩1,641,908,268</t>
  </si>
  <si>
    <t>₩241,064,960,000</t>
  </si>
  <si>
    <t>205100</t>
  </si>
  <si>
    <t>엑셈</t>
  </si>
  <si>
    <t>₩561,250,043</t>
  </si>
  <si>
    <t>₩127,159,382,577</t>
  </si>
  <si>
    <t>064290</t>
  </si>
  <si>
    <t>인텍플러스</t>
  </si>
  <si>
    <t>₩871,552,867</t>
  </si>
  <si>
    <t>₩150,379,715,780</t>
  </si>
  <si>
    <t>006340</t>
  </si>
  <si>
    <t>대원전선</t>
  </si>
  <si>
    <t>₩4,057,537,530</t>
  </si>
  <si>
    <t>₩226,062,212,625</t>
  </si>
  <si>
    <t>254490</t>
  </si>
  <si>
    <t>미래반도체</t>
  </si>
  <si>
    <t>₩5,904,456,395</t>
  </si>
  <si>
    <t>₩191,159,120,000</t>
  </si>
  <si>
    <t>115530</t>
  </si>
  <si>
    <t>씨엔플러스</t>
  </si>
  <si>
    <t>₩233,923,689</t>
  </si>
  <si>
    <t>₩28,612,423,000</t>
  </si>
  <si>
    <t>452980</t>
  </si>
  <si>
    <t>신한제11호스팩</t>
  </si>
  <si>
    <t>₩81,667,491</t>
  </si>
  <si>
    <t>₩37,053,800,000</t>
  </si>
  <si>
    <t>042670</t>
  </si>
  <si>
    <t>HD현대인프라코어</t>
  </si>
  <si>
    <t>₩10,757,541,780</t>
  </si>
  <si>
    <t>₩1,439,139,326,490</t>
  </si>
  <si>
    <t>042660</t>
  </si>
  <si>
    <t>한화오션</t>
  </si>
  <si>
    <t>₩92,508,437,762</t>
  </si>
  <si>
    <t>₩11,429,219,596,200</t>
  </si>
  <si>
    <t>00781K</t>
  </si>
  <si>
    <t>코리아써키트2우B</t>
  </si>
  <si>
    <t>₩1,499,232</t>
  </si>
  <si>
    <t>₩4,341,692,460</t>
  </si>
  <si>
    <t>129920</t>
  </si>
  <si>
    <t>대성하이텍</t>
  </si>
  <si>
    <t>₩540,940,412</t>
  </si>
  <si>
    <t>₩53,008,679,845</t>
  </si>
  <si>
    <t>045970</t>
  </si>
  <si>
    <t>코아시아</t>
  </si>
  <si>
    <t>₩420,860,510</t>
  </si>
  <si>
    <t>₩119,995,834,560</t>
  </si>
  <si>
    <t>056190</t>
  </si>
  <si>
    <t>에스에프에이</t>
  </si>
  <si>
    <t>₩1,339,462,900</t>
  </si>
  <si>
    <t>₩723,561,514,000</t>
  </si>
  <si>
    <t>424760</t>
  </si>
  <si>
    <t>벨로크</t>
  </si>
  <si>
    <t>₩27,447,653</t>
  </si>
  <si>
    <t>₩20,038,637,038</t>
  </si>
  <si>
    <t>005720</t>
  </si>
  <si>
    <t>넥센</t>
  </si>
  <si>
    <t>₩128,614,324</t>
  </si>
  <si>
    <t>₩253,263,011,210</t>
  </si>
  <si>
    <t>013890</t>
  </si>
  <si>
    <t>지누스</t>
  </si>
  <si>
    <t>₩5,175,904,010</t>
  </si>
  <si>
    <t>₩551,094,630,400</t>
  </si>
  <si>
    <t>053980</t>
  </si>
  <si>
    <t>오상자이엘</t>
  </si>
  <si>
    <t>₩1,240,532,830</t>
  </si>
  <si>
    <t>₩70,995,608,420</t>
  </si>
  <si>
    <t>018120</t>
  </si>
  <si>
    <t>진로발효</t>
  </si>
  <si>
    <t>₩50,375,472</t>
  </si>
  <si>
    <t>₩119,842,272,000</t>
  </si>
  <si>
    <t>147830</t>
  </si>
  <si>
    <t>제룡산업</t>
  </si>
  <si>
    <t>₩3,211,719,949</t>
  </si>
  <si>
    <t>₩123,600,000,000</t>
  </si>
  <si>
    <t>200470</t>
  </si>
  <si>
    <t>에이팩트</t>
  </si>
  <si>
    <t>₩549,588,485</t>
  </si>
  <si>
    <t>₩107,387,905,755</t>
  </si>
  <si>
    <t>462020</t>
  </si>
  <si>
    <t>에이치엠씨제6호스팩</t>
  </si>
  <si>
    <t>₩7,854,714</t>
  </si>
  <si>
    <t>₩8,820,350,000</t>
  </si>
  <si>
    <t>317770</t>
  </si>
  <si>
    <t>엑스페릭스</t>
  </si>
  <si>
    <t>₩1,022,994,660</t>
  </si>
  <si>
    <t>₩78,680,447,580</t>
  </si>
  <si>
    <t>102940</t>
  </si>
  <si>
    <t>코오롱생명과학</t>
  </si>
  <si>
    <t>₩290,174,309</t>
  </si>
  <si>
    <t>₩227,969,151,450</t>
  </si>
  <si>
    <t>109670</t>
  </si>
  <si>
    <t>씨싸이트</t>
  </si>
  <si>
    <t>₩283,419,390</t>
  </si>
  <si>
    <t>₩52,295,953,920</t>
  </si>
  <si>
    <t>051380</t>
  </si>
  <si>
    <t>피씨디렉트</t>
  </si>
  <si>
    <t>₩2,759,984,501</t>
  </si>
  <si>
    <t>₩38,120,078,920</t>
  </si>
  <si>
    <t>006280</t>
  </si>
  <si>
    <t>녹십자</t>
  </si>
  <si>
    <t>₩11,713,755,100</t>
  </si>
  <si>
    <t>₩1,799,726,852,000</t>
  </si>
  <si>
    <t>054800</t>
  </si>
  <si>
    <t>아이디스홀딩스</t>
  </si>
  <si>
    <t>₩81,721,538</t>
  </si>
  <si>
    <t>₩92,922,848,880</t>
  </si>
  <si>
    <t>111380</t>
  </si>
  <si>
    <t>동인기연</t>
  </si>
  <si>
    <t>₩328,457,784</t>
  </si>
  <si>
    <t>₩111,774,720,000</t>
  </si>
  <si>
    <t>035290</t>
  </si>
  <si>
    <t>골드앤에스</t>
  </si>
  <si>
    <t>₩77,632,768</t>
  </si>
  <si>
    <t>₩20,024,121,600</t>
  </si>
  <si>
    <t>016740</t>
  </si>
  <si>
    <t>두올</t>
  </si>
  <si>
    <t>₩262,314,777</t>
  </si>
  <si>
    <t>₩108,866,378,600</t>
  </si>
  <si>
    <t>078350</t>
  </si>
  <si>
    <t>한양디지텍</t>
  </si>
  <si>
    <t>₩992,725,673</t>
  </si>
  <si>
    <t>₩161,895,336,840</t>
  </si>
  <si>
    <t>048910</t>
  </si>
  <si>
    <t>대원미디어</t>
  </si>
  <si>
    <t>₩163,051,310</t>
  </si>
  <si>
    <t>₩97,612,620,960</t>
  </si>
  <si>
    <t>001045</t>
  </si>
  <si>
    <t>CJ우</t>
  </si>
  <si>
    <t>₩73,373,486</t>
  </si>
  <si>
    <t>₩127,250,554,900</t>
  </si>
  <si>
    <t>141080</t>
  </si>
  <si>
    <t>리가켐바이오</t>
  </si>
  <si>
    <t>₩96,940,468,100</t>
  </si>
  <si>
    <t>₩5,125,447,320,000</t>
  </si>
  <si>
    <t>064480</t>
  </si>
  <si>
    <t>브리지텍</t>
  </si>
  <si>
    <t>₩1,610,484,060</t>
  </si>
  <si>
    <t>₩62,033,475,000</t>
  </si>
  <si>
    <t>073240</t>
  </si>
  <si>
    <t>금호타이어</t>
  </si>
  <si>
    <t>₩2,243,729,758</t>
  </si>
  <si>
    <t>₩1,251,018,549,885</t>
  </si>
  <si>
    <t>139670</t>
  </si>
  <si>
    <t>키네마스터</t>
  </si>
  <si>
    <t>₩215,025,220</t>
  </si>
  <si>
    <t>₩37,061,876,250</t>
  </si>
  <si>
    <t>452400</t>
  </si>
  <si>
    <t>이닉스</t>
  </si>
  <si>
    <t>₩881,338,688</t>
  </si>
  <si>
    <t>₩109,492,135,960</t>
  </si>
  <si>
    <t>005390</t>
  </si>
  <si>
    <t>신성통상</t>
  </si>
  <si>
    <t>₩218,914,191</t>
  </si>
  <si>
    <t>₩309,691,580,450</t>
  </si>
  <si>
    <t>052330</t>
  </si>
  <si>
    <t>코텍</t>
  </si>
  <si>
    <t>₩330,912,245</t>
  </si>
  <si>
    <t>₩122,415,978,720</t>
  </si>
  <si>
    <t>090360</t>
  </si>
  <si>
    <t>로보스타</t>
  </si>
  <si>
    <t>₩705,914,848</t>
  </si>
  <si>
    <t>₩205,725,000,000</t>
  </si>
  <si>
    <t>000270</t>
  </si>
  <si>
    <t>기아</t>
  </si>
  <si>
    <t>₩133,043,499,700</t>
  </si>
  <si>
    <t>₩37,826,606,248,200</t>
  </si>
  <si>
    <t>006345</t>
  </si>
  <si>
    <t>대원전선우</t>
  </si>
  <si>
    <t>₩82,146,843</t>
  </si>
  <si>
    <t>₩9,488,744,000</t>
  </si>
  <si>
    <t>015590</t>
  </si>
  <si>
    <t>KIB플러그에너지</t>
  </si>
  <si>
    <t>₩788,902,299</t>
  </si>
  <si>
    <t>₩120,623,605,896</t>
  </si>
  <si>
    <t>039560</t>
  </si>
  <si>
    <t>다산네트웍스</t>
  </si>
  <si>
    <t>₩7,109,736,043</t>
  </si>
  <si>
    <t>₩143,406,711,030</t>
  </si>
  <si>
    <t>323350</t>
  </si>
  <si>
    <t>다원넥스뷰</t>
  </si>
  <si>
    <t>₩190,557,268</t>
  </si>
  <si>
    <t>₩52,109,321,460</t>
  </si>
  <si>
    <t>101490</t>
  </si>
  <si>
    <t>에스앤에스텍</t>
  </si>
  <si>
    <t>₩2,798,891,098</t>
  </si>
  <si>
    <t>₩452,625,531,700</t>
  </si>
  <si>
    <t>001740</t>
  </si>
  <si>
    <t>SK네트웍스</t>
  </si>
  <si>
    <t>₩1,804,967,481</t>
  </si>
  <si>
    <t>₩1,009,027,233,120</t>
  </si>
  <si>
    <t>030000</t>
  </si>
  <si>
    <t>제일기획</t>
  </si>
  <si>
    <t>₩3,954,859,349</t>
  </si>
  <si>
    <t>₩2,061,538,752,000</t>
  </si>
  <si>
    <t>102710</t>
  </si>
  <si>
    <t>이엔에프테크놀로지</t>
  </si>
  <si>
    <t>₩2,424,052,219</t>
  </si>
  <si>
    <t>₩216,032,080,320</t>
  </si>
  <si>
    <t>208640</t>
  </si>
  <si>
    <t>썸에이지</t>
  </si>
  <si>
    <t>₩572,314,539</t>
  </si>
  <si>
    <t>₩33,417,660,960</t>
  </si>
  <si>
    <t>090080</t>
  </si>
  <si>
    <t>평화산업</t>
  </si>
  <si>
    <t>₩43,646,346</t>
  </si>
  <si>
    <t>₩54,353,236,410</t>
  </si>
  <si>
    <t>013570</t>
  </si>
  <si>
    <t>디와이</t>
  </si>
  <si>
    <t>₩214,925,353</t>
  </si>
  <si>
    <t>₩121,859,900,790</t>
  </si>
  <si>
    <t>259630</t>
  </si>
  <si>
    <t>엠플러스</t>
  </si>
  <si>
    <t>₩605,443,535</t>
  </si>
  <si>
    <t>₩102,189,584,640</t>
  </si>
  <si>
    <t>024940</t>
  </si>
  <si>
    <t>PN풍년</t>
  </si>
  <si>
    <t>₩1,693,584,719</t>
  </si>
  <si>
    <t>₩61,000,000,000</t>
  </si>
  <si>
    <t>100790</t>
  </si>
  <si>
    <t>미래에셋벤처투자</t>
  </si>
  <si>
    <t>₩4,070,509,755</t>
  </si>
  <si>
    <t>₩311,841,601,580</t>
  </si>
  <si>
    <t>090355</t>
  </si>
  <si>
    <t>노루페인트우</t>
  </si>
  <si>
    <t>₩12,392,170</t>
  </si>
  <si>
    <t>₩5,733,499,880</t>
  </si>
  <si>
    <t>115310</t>
  </si>
  <si>
    <t>인포바인</t>
  </si>
  <si>
    <t>₩83,935,135</t>
  </si>
  <si>
    <t>₩62,899,795,100</t>
  </si>
  <si>
    <t>096240</t>
  </si>
  <si>
    <t>크레버스</t>
  </si>
  <si>
    <t>₩238,839,899</t>
  </si>
  <si>
    <t>₩171,082,444,800</t>
  </si>
  <si>
    <t>035600</t>
  </si>
  <si>
    <t>KG이니시스</t>
  </si>
  <si>
    <t>₩410,924,971</t>
  </si>
  <si>
    <t>₩253,093,216,380</t>
  </si>
  <si>
    <t>213500</t>
  </si>
  <si>
    <t>한솔제지</t>
  </si>
  <si>
    <t>₩956,329,881</t>
  </si>
  <si>
    <t>₩219,441,310,720</t>
  </si>
  <si>
    <t>007720</t>
  </si>
  <si>
    <t>대명소노시즌</t>
  </si>
  <si>
    <t>₩20,362,852,860</t>
  </si>
  <si>
    <t>₩100,296,447,750</t>
  </si>
  <si>
    <t>227950</t>
  </si>
  <si>
    <t>엔투텍</t>
  </si>
  <si>
    <t>₩570,381,474</t>
  </si>
  <si>
    <t>₩58,209,447,860</t>
  </si>
  <si>
    <t>134580</t>
  </si>
  <si>
    <t>탑코미디어</t>
  </si>
  <si>
    <t>₩992,323,729</t>
  </si>
  <si>
    <t>₩39,976,767,105</t>
  </si>
  <si>
    <t>052900</t>
  </si>
  <si>
    <t>KX하이텍</t>
  </si>
  <si>
    <t>₩78,369,038</t>
  </si>
  <si>
    <t>₩50,754,023,157</t>
  </si>
  <si>
    <t>000430</t>
  </si>
  <si>
    <t>대원강업</t>
  </si>
  <si>
    <t>₩210,823,645</t>
  </si>
  <si>
    <t>₩253,890,000,000</t>
  </si>
  <si>
    <t>215360</t>
  </si>
  <si>
    <t>우리산업</t>
  </si>
  <si>
    <t>₩454,238,660</t>
  </si>
  <si>
    <t>₩105,111,196,130</t>
  </si>
  <si>
    <t>039610</t>
  </si>
  <si>
    <t>화성밸브</t>
  </si>
  <si>
    <t>₩9,456,051,206</t>
  </si>
  <si>
    <t>₩109,829,720,000</t>
  </si>
  <si>
    <t>006405</t>
  </si>
  <si>
    <t>삼성SDI우</t>
  </si>
  <si>
    <t>₩704,328,619</t>
  </si>
  <si>
    <t>₩284,102,537,600</t>
  </si>
  <si>
    <t>086960</t>
  </si>
  <si>
    <t>MDS테크</t>
  </si>
  <si>
    <t>₩741,180,543</t>
  </si>
  <si>
    <t>₩93,935,649,456</t>
  </si>
  <si>
    <t>007460</t>
  </si>
  <si>
    <t>에이프로젠</t>
  </si>
  <si>
    <t>₩3,385,691,794</t>
  </si>
  <si>
    <t>₩315,536,944,800</t>
  </si>
  <si>
    <t>100130</t>
  </si>
  <si>
    <t>동국S&amp;C</t>
  </si>
  <si>
    <t>₩232,026,815</t>
  </si>
  <si>
    <t>₩130,571,755,000</t>
  </si>
  <si>
    <t>950190</t>
  </si>
  <si>
    <t>고스트스튜디오</t>
  </si>
  <si>
    <t>₩129,874,663</t>
  </si>
  <si>
    <t>₩136,613,713,520</t>
  </si>
  <si>
    <t>019010</t>
  </si>
  <si>
    <t>베뉴지</t>
  </si>
  <si>
    <t>₩102,953,912</t>
  </si>
  <si>
    <t>₩110,860,000,000</t>
  </si>
  <si>
    <t>011390</t>
  </si>
  <si>
    <t>부산산업</t>
  </si>
  <si>
    <t>₩1,515,382,657</t>
  </si>
  <si>
    <t>₩64,204,800,000</t>
  </si>
  <si>
    <t>453340</t>
  </si>
  <si>
    <t>현대그린푸드</t>
  </si>
  <si>
    <t>₩819,838,643</t>
  </si>
  <si>
    <t>₩450,616,156,200</t>
  </si>
  <si>
    <t>241710</t>
  </si>
  <si>
    <t>코스메카코리아</t>
  </si>
  <si>
    <t>₩12,836,107,300</t>
  </si>
  <si>
    <t>₩720,900,000,000</t>
  </si>
  <si>
    <t>226330</t>
  </si>
  <si>
    <t>신테카바이오</t>
  </si>
  <si>
    <t>₩827,166,629</t>
  </si>
  <si>
    <t>₩87,888,816,000</t>
  </si>
  <si>
    <t>038620</t>
  </si>
  <si>
    <t>위즈코프</t>
  </si>
  <si>
    <t>₩131,362,362</t>
  </si>
  <si>
    <t>₩39,728,239,605</t>
  </si>
  <si>
    <t>096630</t>
  </si>
  <si>
    <t>에스코넥</t>
  </si>
  <si>
    <t>₩267,186,832</t>
  </si>
  <si>
    <t>₩54,150,760,425</t>
  </si>
  <si>
    <t>067290</t>
  </si>
  <si>
    <t>JW신약</t>
  </si>
  <si>
    <t>₩758,465,270</t>
  </si>
  <si>
    <t>₩74,177,751,418</t>
  </si>
  <si>
    <t>227610</t>
  </si>
  <si>
    <t>아우딘퓨쳐스</t>
  </si>
  <si>
    <t>₩256,777,138</t>
  </si>
  <si>
    <t>₩45,689,274,348</t>
  </si>
  <si>
    <t>271830</t>
  </si>
  <si>
    <t>팸텍</t>
  </si>
  <si>
    <t>₩1,006,375,085</t>
  </si>
  <si>
    <t>₩61,339,620,160</t>
  </si>
  <si>
    <t>006400</t>
  </si>
  <si>
    <t>삼성SDI</t>
  </si>
  <si>
    <t>₩133,065,290,786</t>
  </si>
  <si>
    <t>₩18,875,863,485,000</t>
  </si>
  <si>
    <t>037760</t>
  </si>
  <si>
    <t>쎄니트</t>
  </si>
  <si>
    <t>₩15,904,719</t>
  </si>
  <si>
    <t>₩52,441,027,550</t>
  </si>
  <si>
    <t>284620</t>
  </si>
  <si>
    <t>카이노스메드</t>
  </si>
  <si>
    <t>₩801,033,258</t>
  </si>
  <si>
    <t>₩156,121,593,220</t>
  </si>
  <si>
    <t>054450</t>
  </si>
  <si>
    <t>텔레칩스</t>
  </si>
  <si>
    <t>₩920,623,779</t>
  </si>
  <si>
    <t>₩180,367,815,030</t>
  </si>
  <si>
    <t>042700</t>
  </si>
  <si>
    <t>한미반도체</t>
  </si>
  <si>
    <t>₩111,725,095,781</t>
  </si>
  <si>
    <t>₩8,545,139,155,400</t>
  </si>
  <si>
    <t>053300</t>
  </si>
  <si>
    <t>한국정보인증</t>
  </si>
  <si>
    <t>₩398,267,429</t>
  </si>
  <si>
    <t>₩166,157,928,315</t>
  </si>
  <si>
    <t>077970</t>
  </si>
  <si>
    <t>STX엔진</t>
  </si>
  <si>
    <t>₩10,236,789,402</t>
  </si>
  <si>
    <t>₩483,186,984,000</t>
  </si>
  <si>
    <t>017650</t>
  </si>
  <si>
    <t>대림제지</t>
  </si>
  <si>
    <t>₩24,132,016</t>
  </si>
  <si>
    <t>₩63,000,000,000</t>
  </si>
  <si>
    <t>032280</t>
  </si>
  <si>
    <t>삼일</t>
  </si>
  <si>
    <t>₩29,000,054</t>
  </si>
  <si>
    <t>₩24,125,821,920</t>
  </si>
  <si>
    <t>000640</t>
  </si>
  <si>
    <t>동아쏘시오홀딩스</t>
  </si>
  <si>
    <t>₩1,018,527,405</t>
  </si>
  <si>
    <t>₩768,218,473,000</t>
  </si>
  <si>
    <t>290520</t>
  </si>
  <si>
    <t>신도기연</t>
  </si>
  <si>
    <t>₩94,278,941</t>
  </si>
  <si>
    <t>₩34,168,481,490</t>
  </si>
  <si>
    <t>02826K</t>
  </si>
  <si>
    <t>삼성물산우B</t>
  </si>
  <si>
    <t>₩347,363,219</t>
  </si>
  <si>
    <t>₩133,110,413,000</t>
  </si>
  <si>
    <t>460930</t>
  </si>
  <si>
    <t>현대힘스</t>
  </si>
  <si>
    <t>₩20,409,472,729</t>
  </si>
  <si>
    <t>₩586,548,521,180</t>
  </si>
  <si>
    <t>041190</t>
  </si>
  <si>
    <t>우리기술투자</t>
  </si>
  <si>
    <t>₩54,908,643,261</t>
  </si>
  <si>
    <t>₩873,600,000,000</t>
  </si>
  <si>
    <t>023960</t>
  </si>
  <si>
    <t>에쓰씨엔지니어링</t>
  </si>
  <si>
    <t>₩457,951,991</t>
  </si>
  <si>
    <t>₩59,513,280,417</t>
  </si>
  <si>
    <t>025900</t>
  </si>
  <si>
    <t>동화기업</t>
  </si>
  <si>
    <t>₩1,081,184,886</t>
  </si>
  <si>
    <t>₩493,439,101,600</t>
  </si>
  <si>
    <t>023770</t>
  </si>
  <si>
    <t>플레이위드</t>
  </si>
  <si>
    <t>₩192,979,643</t>
  </si>
  <si>
    <t>₩36,338,468,900</t>
  </si>
  <si>
    <t>270520</t>
  </si>
  <si>
    <t>지오릿에너지</t>
  </si>
  <si>
    <t>₩2,594,510,508</t>
  </si>
  <si>
    <t>₩204,363,741,582</t>
  </si>
  <si>
    <t>109080</t>
  </si>
  <si>
    <t>옵티시스</t>
  </si>
  <si>
    <t>₩47,095,254</t>
  </si>
  <si>
    <t>₩39,959,240,000</t>
  </si>
  <si>
    <t>084650</t>
  </si>
  <si>
    <t>랩지노믹스</t>
  </si>
  <si>
    <t>₩47,458,367,732</t>
  </si>
  <si>
    <t>₩225,318,369,650</t>
  </si>
  <si>
    <t>082270</t>
  </si>
  <si>
    <t>젬백스</t>
  </si>
  <si>
    <t>₩16,109,089,496</t>
  </si>
  <si>
    <t>₩543,120,882,920</t>
  </si>
  <si>
    <t>299900</t>
  </si>
  <si>
    <t>위지윅스튜디오</t>
  </si>
  <si>
    <t>₩2,250,771,167</t>
  </si>
  <si>
    <t>₩211,074,322,856</t>
  </si>
  <si>
    <t>051915</t>
  </si>
  <si>
    <t>LG화학우</t>
  </si>
  <si>
    <t>₩3,705,260,143</t>
  </si>
  <si>
    <t>₩1,587,737,200,000</t>
  </si>
  <si>
    <t>039830</t>
  </si>
  <si>
    <t>오로라</t>
  </si>
  <si>
    <t>₩50,960,485</t>
  </si>
  <si>
    <t>₩60,379,812,900</t>
  </si>
  <si>
    <t>125210</t>
  </si>
  <si>
    <t>아모그린텍</t>
  </si>
  <si>
    <t>₩3,445,084,271</t>
  </si>
  <si>
    <t>₩124,550,764,500</t>
  </si>
  <si>
    <t>004920</t>
  </si>
  <si>
    <t>씨아이테크</t>
  </si>
  <si>
    <t>₩253,228,729</t>
  </si>
  <si>
    <t>₩66,136,912,553</t>
  </si>
  <si>
    <t>377330</t>
  </si>
  <si>
    <t>이지트로닉스</t>
  </si>
  <si>
    <t>₩88,410,411</t>
  </si>
  <si>
    <t>₩42,002,162,640</t>
  </si>
  <si>
    <t>225220</t>
  </si>
  <si>
    <t>제놀루션</t>
  </si>
  <si>
    <t>₩150,467,202</t>
  </si>
  <si>
    <t>₩50,565,705,335</t>
  </si>
  <si>
    <t>314930</t>
  </si>
  <si>
    <t>바이오다인</t>
  </si>
  <si>
    <t>₩28,718,229,312</t>
  </si>
  <si>
    <t>₩642,904,624,800</t>
  </si>
  <si>
    <t>212560</t>
  </si>
  <si>
    <t>네오오토</t>
  </si>
  <si>
    <t>₩122,384,731</t>
  </si>
  <si>
    <t>₩64,495,946,970</t>
  </si>
  <si>
    <t>368770</t>
  </si>
  <si>
    <t>파이버프로</t>
  </si>
  <si>
    <t>₩13,343,431,309</t>
  </si>
  <si>
    <t>₩181,355,322,000</t>
  </si>
  <si>
    <t>450520</t>
  </si>
  <si>
    <t>인스웨이브시스템즈</t>
  </si>
  <si>
    <t>₩175,330,940</t>
  </si>
  <si>
    <t>₩45,878,283,360</t>
  </si>
  <si>
    <t>065510</t>
  </si>
  <si>
    <t>휴비츠</t>
  </si>
  <si>
    <t>₩370,974,407</t>
  </si>
  <si>
    <t>₩102,260,310,110</t>
  </si>
  <si>
    <t>064350</t>
  </si>
  <si>
    <t>현대로템</t>
  </si>
  <si>
    <t>₩112,621,244,738</t>
  </si>
  <si>
    <t>₩6,996,020,981,300</t>
  </si>
  <si>
    <t>035620</t>
  </si>
  <si>
    <t>바른손이앤에이</t>
  </si>
  <si>
    <t>₩38,393,861</t>
  </si>
  <si>
    <t>₩35,358,845,625</t>
  </si>
  <si>
    <t>200710</t>
  </si>
  <si>
    <t>에이디테크놀로지</t>
  </si>
  <si>
    <t>₩11,483,671,309</t>
  </si>
  <si>
    <t>₩216,666,050,640</t>
  </si>
  <si>
    <t>036200</t>
  </si>
  <si>
    <t>유니셈</t>
  </si>
  <si>
    <t>₩2,378,654,166</t>
  </si>
  <si>
    <t>₩197,170,953,890</t>
  </si>
  <si>
    <t>032540</t>
  </si>
  <si>
    <t>TJ미디어</t>
  </si>
  <si>
    <t>₩255,518,013</t>
  </si>
  <si>
    <t>₩71,051,205,900</t>
  </si>
  <si>
    <t>037400</t>
  </si>
  <si>
    <t>우리엔터프라이즈</t>
  </si>
  <si>
    <t>₩64,425,243</t>
  </si>
  <si>
    <t>₩34,798,380,142</t>
  </si>
  <si>
    <t>015020</t>
  </si>
  <si>
    <t>이스타코</t>
  </si>
  <si>
    <t>₩123,248,739</t>
  </si>
  <si>
    <t>₩29,953,268,400</t>
  </si>
  <si>
    <t>014940</t>
  </si>
  <si>
    <t>오리엔탈정공</t>
  </si>
  <si>
    <t>₩2,793,768,105</t>
  </si>
  <si>
    <t>₩182,750,380,610</t>
  </si>
  <si>
    <t>001250</t>
  </si>
  <si>
    <t>GS글로벌</t>
  </si>
  <si>
    <t>₩4,831,481,708</t>
  </si>
  <si>
    <t>₩262,870,038,340</t>
  </si>
  <si>
    <t>075130</t>
  </si>
  <si>
    <t>플랜티넷</t>
  </si>
  <si>
    <t>₩204,909,864</t>
  </si>
  <si>
    <t>₩33,826,421,200</t>
  </si>
  <si>
    <t>226340</t>
  </si>
  <si>
    <t>본느</t>
  </si>
  <si>
    <t>₩661,609,471</t>
  </si>
  <si>
    <t>₩65,991,156,660</t>
  </si>
  <si>
    <t>067370</t>
  </si>
  <si>
    <t>선바이오</t>
  </si>
  <si>
    <t>₩247,291,148</t>
  </si>
  <si>
    <t>₩74,127,601,100</t>
  </si>
  <si>
    <t>024720</t>
  </si>
  <si>
    <t>콜마홀딩스</t>
  </si>
  <si>
    <t>₩1,572,481,942</t>
  </si>
  <si>
    <t>₩262,709,343,940</t>
  </si>
  <si>
    <t>008600</t>
  </si>
  <si>
    <t>윌비스</t>
  </si>
  <si>
    <t>₩47,619,101</t>
  </si>
  <si>
    <t>₩28,642,552,614</t>
  </si>
  <si>
    <t>024900</t>
  </si>
  <si>
    <t>덕양산업</t>
  </si>
  <si>
    <t>₩797,019,070</t>
  </si>
  <si>
    <t>₩100,625,788,200</t>
  </si>
  <si>
    <t>087600</t>
  </si>
  <si>
    <t>픽셀플러스</t>
  </si>
  <si>
    <t>₩104,166,522</t>
  </si>
  <si>
    <t>₩55,124,266,500</t>
  </si>
  <si>
    <t>056730</t>
  </si>
  <si>
    <t>CNT85</t>
  </si>
  <si>
    <t>₩12,232,844</t>
  </si>
  <si>
    <t>₩57,510,280,336</t>
  </si>
  <si>
    <t>045340</t>
  </si>
  <si>
    <t>토탈소프트</t>
  </si>
  <si>
    <t>₩176,897,824</t>
  </si>
  <si>
    <t>₩48,010,604,400</t>
  </si>
  <si>
    <t>047400</t>
  </si>
  <si>
    <t>유니온머티리얼</t>
  </si>
  <si>
    <t>₩1,429,971,989</t>
  </si>
  <si>
    <t>₩93,450,000,000</t>
  </si>
  <si>
    <t>377220</t>
  </si>
  <si>
    <t>프롬바이오</t>
  </si>
  <si>
    <t>₩906,189,775</t>
  </si>
  <si>
    <t>₩58,884,800,000</t>
  </si>
  <si>
    <t>065440</t>
  </si>
  <si>
    <t>이루온</t>
  </si>
  <si>
    <t>₩587,699,458</t>
  </si>
  <si>
    <t>₩36,903,102,060</t>
  </si>
  <si>
    <t>318020</t>
  </si>
  <si>
    <t>포인트모바일</t>
  </si>
  <si>
    <t>₩340,856,545</t>
  </si>
  <si>
    <t>₩44,634,508,800</t>
  </si>
  <si>
    <t>250060</t>
  </si>
  <si>
    <t>모비스</t>
  </si>
  <si>
    <t>₩15,976,992,620</t>
  </si>
  <si>
    <t>₩99,087,647,120</t>
  </si>
  <si>
    <t>076610</t>
  </si>
  <si>
    <t>해성옵틱스</t>
  </si>
  <si>
    <t>₩48,385,176</t>
  </si>
  <si>
    <t>₩27,260,375,058</t>
  </si>
  <si>
    <t>328130</t>
  </si>
  <si>
    <t>루닛</t>
  </si>
  <si>
    <t>₩10,087,976,988</t>
  </si>
  <si>
    <t>₩1,159,257,052,800</t>
  </si>
  <si>
    <t>003310</t>
  </si>
  <si>
    <t>대주산업</t>
  </si>
  <si>
    <t>₩914,964,185</t>
  </si>
  <si>
    <t>₩49,903,213,500</t>
  </si>
  <si>
    <t>013870</t>
  </si>
  <si>
    <t>지엠비코리아</t>
  </si>
  <si>
    <t>₩49,574,900</t>
  </si>
  <si>
    <t>₩71,902,495,600</t>
  </si>
  <si>
    <t>215100</t>
  </si>
  <si>
    <t>로보로보</t>
  </si>
  <si>
    <t>₩4,527,837,622</t>
  </si>
  <si>
    <t>₩81,292,073,730</t>
  </si>
  <si>
    <t>299660</t>
  </si>
  <si>
    <t>셀리드</t>
  </si>
  <si>
    <t>₩9,138,242,882</t>
  </si>
  <si>
    <t>₩97,495,753,740</t>
  </si>
  <si>
    <t>065420</t>
  </si>
  <si>
    <t>에스아이리소스</t>
  </si>
  <si>
    <t>₩138,012,955</t>
  </si>
  <si>
    <t>₩16,605,933,368</t>
  </si>
  <si>
    <t>088980</t>
  </si>
  <si>
    <t>맥쿼리인프라</t>
  </si>
  <si>
    <t>₩7,135,900,366</t>
  </si>
  <si>
    <t>₩5,536,338,239,080</t>
  </si>
  <si>
    <t>000490</t>
  </si>
  <si>
    <t>대동</t>
  </si>
  <si>
    <t>₩649,989,087</t>
  </si>
  <si>
    <t>₩224,100,487,120</t>
  </si>
  <si>
    <t>064760</t>
  </si>
  <si>
    <t>티씨케이</t>
  </si>
  <si>
    <t>₩2,374,152,957</t>
  </si>
  <si>
    <t>₩903,645,000,000</t>
  </si>
  <si>
    <t>000670</t>
  </si>
  <si>
    <t>영풍</t>
  </si>
  <si>
    <t>₩12,952,426,262</t>
  </si>
  <si>
    <t>₩836,286,160,000</t>
  </si>
  <si>
    <t>151860</t>
  </si>
  <si>
    <t>KG에코솔루션</t>
  </si>
  <si>
    <t>₩372,267,250</t>
  </si>
  <si>
    <t>₩249,007,070,040</t>
  </si>
  <si>
    <t>020400</t>
  </si>
  <si>
    <t>대동금속</t>
  </si>
  <si>
    <t>₩20,456,464</t>
  </si>
  <si>
    <t>₩19,549,587,580</t>
  </si>
  <si>
    <t>036810</t>
  </si>
  <si>
    <t>에프에스티</t>
  </si>
  <si>
    <t>₩10,829,757,514</t>
  </si>
  <si>
    <t>₩387,270,844,200</t>
  </si>
  <si>
    <t>006120</t>
  </si>
  <si>
    <t>SK디스커버리</t>
  </si>
  <si>
    <t>₩781,037,450</t>
  </si>
  <si>
    <t>₩680,047,951,000</t>
  </si>
  <si>
    <t>204620</t>
  </si>
  <si>
    <t>글로벌텍스프리</t>
  </si>
  <si>
    <t>₩2,237,551,616</t>
  </si>
  <si>
    <t>₩239,269,277,025</t>
  </si>
  <si>
    <t>047920</t>
  </si>
  <si>
    <t>HLB제약</t>
  </si>
  <si>
    <t>₩3,705,278,854</t>
  </si>
  <si>
    <t>₩561,269,894,100</t>
  </si>
  <si>
    <t>317120</t>
  </si>
  <si>
    <t>라닉스</t>
  </si>
  <si>
    <t>₩143,166,854</t>
  </si>
  <si>
    <t>₩35,742,000,000</t>
  </si>
  <si>
    <t>005387</t>
  </si>
  <si>
    <t>현대차2우B</t>
  </si>
  <si>
    <t>₩19,415,470,810</t>
  </si>
  <si>
    <t>₩5,857,388,245,800</t>
  </si>
  <si>
    <t>302550</t>
  </si>
  <si>
    <t>리메드</t>
  </si>
  <si>
    <t>₩9,758,879,823</t>
  </si>
  <si>
    <t>₩121,479,987,200</t>
  </si>
  <si>
    <t>45226K</t>
  </si>
  <si>
    <t>한화갤러리아우</t>
  </si>
  <si>
    <t>₩5,764,067</t>
  </si>
  <si>
    <t>₩7,522,577,300</t>
  </si>
  <si>
    <t>138040</t>
  </si>
  <si>
    <t>메리츠금융지주</t>
  </si>
  <si>
    <t>₩23,809,165,933</t>
  </si>
  <si>
    <t>₩20,063,755,992,800</t>
  </si>
  <si>
    <t>434480</t>
  </si>
  <si>
    <t>모니터랩</t>
  </si>
  <si>
    <t>₩2,366,032,971</t>
  </si>
  <si>
    <t>₩50,054,730,500</t>
  </si>
  <si>
    <t>382900</t>
  </si>
  <si>
    <t>범한퓨얼셀</t>
  </si>
  <si>
    <t>₩672,790,935</t>
  </si>
  <si>
    <t>₩124,143,370,000</t>
  </si>
  <si>
    <t>080220</t>
  </si>
  <si>
    <t>제주반도체</t>
  </si>
  <si>
    <t>₩6,551,989,792</t>
  </si>
  <si>
    <t>₩359,583,176,520</t>
  </si>
  <si>
    <t>016090</t>
  </si>
  <si>
    <t>대현</t>
  </si>
  <si>
    <t>₩196,798,054</t>
  </si>
  <si>
    <t>₩94,321,320,300</t>
  </si>
  <si>
    <t>071850</t>
  </si>
  <si>
    <t>캐스텍코리아</t>
  </si>
  <si>
    <t>₩67,996,298</t>
  </si>
  <si>
    <t>₩48,567,792,240</t>
  </si>
  <si>
    <t>277410</t>
  </si>
  <si>
    <t>인산가</t>
  </si>
  <si>
    <t>₩104,627,078</t>
  </si>
  <si>
    <t>₩50,861,102,214</t>
  </si>
  <si>
    <t>272450</t>
  </si>
  <si>
    <t>진에어</t>
  </si>
  <si>
    <t>₩2,137,625,041</t>
  </si>
  <si>
    <t>₩584,640,000,000</t>
  </si>
  <si>
    <t>110020</t>
  </si>
  <si>
    <t>전진바이오팜</t>
  </si>
  <si>
    <t>₩127,801,314</t>
  </si>
  <si>
    <t>₩19,566,925,920</t>
  </si>
  <si>
    <t>033560</t>
  </si>
  <si>
    <t>블루콤</t>
  </si>
  <si>
    <t>₩45,802,310</t>
  </si>
  <si>
    <t>₩56,344,500,000</t>
  </si>
  <si>
    <t>089230</t>
  </si>
  <si>
    <t>THE E&amp;M</t>
  </si>
  <si>
    <t>₩155,199,336</t>
  </si>
  <si>
    <t>₩24,683,970,984</t>
  </si>
  <si>
    <t>425420</t>
  </si>
  <si>
    <t>티에프이</t>
  </si>
  <si>
    <t>₩479,352,710</t>
  </si>
  <si>
    <t>₩146,473,470,000</t>
  </si>
  <si>
    <t>073540</t>
  </si>
  <si>
    <t>에프알텍</t>
  </si>
  <si>
    <t>₩26,755,121</t>
  </si>
  <si>
    <t>₩15,184,800,000</t>
  </si>
  <si>
    <t>372800</t>
  </si>
  <si>
    <t>아이티아이즈</t>
  </si>
  <si>
    <t>₩43,208,357</t>
  </si>
  <si>
    <t>₩33,148,445,000</t>
  </si>
  <si>
    <t>079550</t>
  </si>
  <si>
    <t>LIG넥스원</t>
  </si>
  <si>
    <t>₩56,011,870,190</t>
  </si>
  <si>
    <t>₩5,852,000,000,000</t>
  </si>
  <si>
    <t>474490</t>
  </si>
  <si>
    <t>유안타제16호스팩</t>
  </si>
  <si>
    <t>₩23,151,620</t>
  </si>
  <si>
    <t>₩11,157,750,000</t>
  </si>
  <si>
    <t>101390</t>
  </si>
  <si>
    <t>아이엠</t>
  </si>
  <si>
    <t>₩366,209,432</t>
  </si>
  <si>
    <t>₩30,694,927,350</t>
  </si>
  <si>
    <t>317530</t>
  </si>
  <si>
    <t>캐리소프트</t>
  </si>
  <si>
    <t>₩976,745,055</t>
  </si>
  <si>
    <t>₩31,509,805,920</t>
  </si>
  <si>
    <t>136540</t>
  </si>
  <si>
    <t>윈스</t>
  </si>
  <si>
    <t>₩782,200,220</t>
  </si>
  <si>
    <t>₩204,389,546,760</t>
  </si>
  <si>
    <t>011280</t>
  </si>
  <si>
    <t>태림포장</t>
  </si>
  <si>
    <t>₩74,133,533</t>
  </si>
  <si>
    <t>₩145,506,206,700</t>
  </si>
  <si>
    <t>006125</t>
  </si>
  <si>
    <t>SK디스커버리우</t>
  </si>
  <si>
    <t>₩100,897,531</t>
  </si>
  <si>
    <t>₩43,334,714,500</t>
  </si>
  <si>
    <t>087260</t>
  </si>
  <si>
    <t>모바일어플라이언스</t>
  </si>
  <si>
    <t>₩628,365,179</t>
  </si>
  <si>
    <t>₩72,918,408,640</t>
  </si>
  <si>
    <t>263020</t>
  </si>
  <si>
    <t>디케이앤디</t>
  </si>
  <si>
    <t>₩1,148,053,419</t>
  </si>
  <si>
    <t>₩58,320,245,970</t>
  </si>
  <si>
    <t>290120</t>
  </si>
  <si>
    <t>DH오토리드</t>
  </si>
  <si>
    <t>₩36,677,941</t>
  </si>
  <si>
    <t>₩39,175,723,450</t>
  </si>
  <si>
    <t>187420</t>
  </si>
  <si>
    <t>제노포커스</t>
  </si>
  <si>
    <t>₩4,796,144,860</t>
  </si>
  <si>
    <t>₩96,003,588,855</t>
  </si>
  <si>
    <t>348370</t>
  </si>
  <si>
    <t>엔켐</t>
  </si>
  <si>
    <t>₩35,123,204,200</t>
  </si>
  <si>
    <t>₩3,151,297,526,800</t>
  </si>
  <si>
    <t>278650</t>
  </si>
  <si>
    <t>HLB바이오스텝</t>
  </si>
  <si>
    <t>₩540,026,321</t>
  </si>
  <si>
    <t>₩174,328,483,890</t>
  </si>
  <si>
    <t>067630</t>
  </si>
  <si>
    <t>HLB생명과학</t>
  </si>
  <si>
    <t>₩3,851,984,001</t>
  </si>
  <si>
    <t>₩979,103,985,750</t>
  </si>
  <si>
    <t>044380</t>
  </si>
  <si>
    <t>주연테크</t>
  </si>
  <si>
    <t>₩35,744,181</t>
  </si>
  <si>
    <t>₩22,444,501,976</t>
  </si>
  <si>
    <t>015760</t>
  </si>
  <si>
    <t>한국전력</t>
  </si>
  <si>
    <t>₩48,357,154,776</t>
  </si>
  <si>
    <t>₩14,283,700,713,250</t>
  </si>
  <si>
    <t>042000</t>
  </si>
  <si>
    <t>카페24</t>
  </si>
  <si>
    <t>₩13,369,491,576</t>
  </si>
  <si>
    <t>₩683,936,122,800</t>
  </si>
  <si>
    <t>211270</t>
  </si>
  <si>
    <t>AP위성</t>
  </si>
  <si>
    <t>₩12,394,141,734</t>
  </si>
  <si>
    <t>₩237,244,641,920</t>
  </si>
  <si>
    <t>199430</t>
  </si>
  <si>
    <t>케이엔알시스템</t>
  </si>
  <si>
    <t>₩555,438,299</t>
  </si>
  <si>
    <t>₩88,463,183,820</t>
  </si>
  <si>
    <t>058730</t>
  </si>
  <si>
    <t>다스코</t>
  </si>
  <si>
    <t>₩1,562,666,479</t>
  </si>
  <si>
    <t>₩65,695,308,795</t>
  </si>
  <si>
    <t>088910</t>
  </si>
  <si>
    <t>동우팜투테이블</t>
  </si>
  <si>
    <t>₩74,804,645</t>
  </si>
  <si>
    <t>₩50,862,743,316</t>
  </si>
  <si>
    <t>014100</t>
  </si>
  <si>
    <t>메디앙스</t>
  </si>
  <si>
    <t>₩33,315,082</t>
  </si>
  <si>
    <t>₩23,411,200,000</t>
  </si>
  <si>
    <t>055490</t>
  </si>
  <si>
    <t>테이팩스</t>
  </si>
  <si>
    <t>₩222,653,463</t>
  </si>
  <si>
    <t>₩71,544,750,000</t>
  </si>
  <si>
    <t>053210</t>
  </si>
  <si>
    <t>스카이라이프</t>
  </si>
  <si>
    <t>₩71,085,217</t>
  </si>
  <si>
    <t>₩231,912,020,400</t>
  </si>
  <si>
    <t>365590</t>
  </si>
  <si>
    <t>하이딥</t>
  </si>
  <si>
    <t>₩149,008,265</t>
  </si>
  <si>
    <t>₩120,469,055,706</t>
  </si>
  <si>
    <t>323280</t>
  </si>
  <si>
    <t>태성</t>
  </si>
  <si>
    <t>₩43,140,441,860</t>
  </si>
  <si>
    <t>₩788,823,301,500</t>
  </si>
  <si>
    <t>004360</t>
  </si>
  <si>
    <t>세방</t>
  </si>
  <si>
    <t>₩400,542,251</t>
  </si>
  <si>
    <t>₩231,704,280,000</t>
  </si>
  <si>
    <t>095700</t>
  </si>
  <si>
    <t>제넥신</t>
  </si>
  <si>
    <t>₩22,108,622,574</t>
  </si>
  <si>
    <t>₩317,417,243,180</t>
  </si>
  <si>
    <t>206650</t>
  </si>
  <si>
    <t>유바이오로직스</t>
  </si>
  <si>
    <t>₩26,948,032,950</t>
  </si>
  <si>
    <t>₩586,740,970,420</t>
  </si>
  <si>
    <t>002070</t>
  </si>
  <si>
    <t>비비안</t>
  </si>
  <si>
    <t>₩45,912,681</t>
  </si>
  <si>
    <t>₩23,358,488,160</t>
  </si>
  <si>
    <t>044480</t>
  </si>
  <si>
    <t>빌리언스</t>
  </si>
  <si>
    <t>₩356,546,538</t>
  </si>
  <si>
    <t>₩24,479,564,256</t>
  </si>
  <si>
    <t>037070</t>
  </si>
  <si>
    <t>파세코</t>
  </si>
  <si>
    <t>₩210,338,533</t>
  </si>
  <si>
    <t>₩113,600,000,000</t>
  </si>
  <si>
    <t>002780</t>
  </si>
  <si>
    <t>진흥기업</t>
  </si>
  <si>
    <t>₩217,495,444</t>
  </si>
  <si>
    <t>₩110,413,054,455</t>
  </si>
  <si>
    <t>020560</t>
  </si>
  <si>
    <t>아시아나항공</t>
  </si>
  <si>
    <t>₩884,904,519</t>
  </si>
  <si>
    <t>₩727,747,051,920</t>
  </si>
  <si>
    <t>263050</t>
  </si>
  <si>
    <t>유틸렉스</t>
  </si>
  <si>
    <t>₩421,443,215</t>
  </si>
  <si>
    <t>₩85,741,339,140</t>
  </si>
  <si>
    <t>121440</t>
  </si>
  <si>
    <t>골프존뉴딘홀딩스</t>
  </si>
  <si>
    <t>₩178,871,458</t>
  </si>
  <si>
    <t>₩155,283,465,250</t>
  </si>
  <si>
    <t>445680</t>
  </si>
  <si>
    <t>큐리옥스바이오시스템즈</t>
  </si>
  <si>
    <t>₩10,391,764,171</t>
  </si>
  <si>
    <t>₩343,665,356,300</t>
  </si>
  <si>
    <t>357780</t>
  </si>
  <si>
    <t>솔브레인</t>
  </si>
  <si>
    <t>₩4,231,479,790</t>
  </si>
  <si>
    <t>₩1,487,261,819,200</t>
  </si>
  <si>
    <t>361390</t>
  </si>
  <si>
    <t>제노코</t>
  </si>
  <si>
    <t>₩6,660,098,563</t>
  </si>
  <si>
    <t>₩156,016,411,200</t>
  </si>
  <si>
    <t>382840</t>
  </si>
  <si>
    <t>원준</t>
  </si>
  <si>
    <t>₩6,645,985,648</t>
  </si>
  <si>
    <t>₩203,722,890,540</t>
  </si>
  <si>
    <t>237880</t>
  </si>
  <si>
    <t>클리오</t>
  </si>
  <si>
    <t>₩3,190,964,035</t>
  </si>
  <si>
    <t>₩326,549,348,710</t>
  </si>
  <si>
    <t>293940</t>
  </si>
  <si>
    <t>신한알파리츠</t>
  </si>
  <si>
    <t>₩1,068,826,157</t>
  </si>
  <si>
    <t>₩498,646,696,180</t>
  </si>
  <si>
    <t>004380</t>
  </si>
  <si>
    <t>삼익THK</t>
  </si>
  <si>
    <t>₩253,148,168</t>
  </si>
  <si>
    <t>₩184,800,000,000</t>
  </si>
  <si>
    <t>396470</t>
  </si>
  <si>
    <t>워트</t>
  </si>
  <si>
    <t>₩3,137,818,400</t>
  </si>
  <si>
    <t>₩126,703,200,000</t>
  </si>
  <si>
    <t>023600</t>
  </si>
  <si>
    <t>삼보판지</t>
  </si>
  <si>
    <t>₩54,075,356</t>
  </si>
  <si>
    <t>₩146,338,500,000</t>
  </si>
  <si>
    <t>294570</t>
  </si>
  <si>
    <t>쿠콘</t>
  </si>
  <si>
    <t>₩143,195,407</t>
  </si>
  <si>
    <t>₩130,644,686,900</t>
  </si>
  <si>
    <t>047810</t>
  </si>
  <si>
    <t>한국항공우주</t>
  </si>
  <si>
    <t>₩60,956,167,090</t>
  </si>
  <si>
    <t>₩6,618,559,765,300</t>
  </si>
  <si>
    <t>033170</t>
  </si>
  <si>
    <t>시그네틱스</t>
  </si>
  <si>
    <t>₩429,632,479</t>
  </si>
  <si>
    <t>₩78,184,226,928</t>
  </si>
  <si>
    <t>016880</t>
  </si>
  <si>
    <t>웅진</t>
  </si>
  <si>
    <t>₩831,578,952</t>
  </si>
  <si>
    <t>₩71,454,809,520</t>
  </si>
  <si>
    <t>084670</t>
  </si>
  <si>
    <t>동양고속</t>
  </si>
  <si>
    <t>₩15,181,224</t>
  </si>
  <si>
    <t>₩23,888,444,250</t>
  </si>
  <si>
    <t>023530</t>
  </si>
  <si>
    <t>롯데쇼핑</t>
  </si>
  <si>
    <t>₩2,944,377,962</t>
  </si>
  <si>
    <t>₩1,745,416,183,500</t>
  </si>
  <si>
    <t>448280</t>
  </si>
  <si>
    <t>에코아이</t>
  </si>
  <si>
    <t>₩368,404,946</t>
  </si>
  <si>
    <t>₩176,008,906,260</t>
  </si>
  <si>
    <t>003610</t>
  </si>
  <si>
    <t>방림</t>
  </si>
  <si>
    <t>₩228,090,034</t>
  </si>
  <si>
    <t>₩144,714,187,800</t>
  </si>
  <si>
    <t>413640</t>
  </si>
  <si>
    <t>비아이매트릭스</t>
  </si>
  <si>
    <t>₩845,556,939</t>
  </si>
  <si>
    <t>₩58,736,561,000</t>
  </si>
  <si>
    <t>030530</t>
  </si>
  <si>
    <t>원익홀딩스</t>
  </si>
  <si>
    <t>₩15,807,436,073</t>
  </si>
  <si>
    <t>₩215,880,156,895</t>
  </si>
  <si>
    <t>035510</t>
  </si>
  <si>
    <t>신세계 I&amp;C</t>
  </si>
  <si>
    <t>₩210,050,333</t>
  </si>
  <si>
    <t>₩161,680,000,000</t>
  </si>
  <si>
    <t>241690</t>
  </si>
  <si>
    <t>유니테크노</t>
  </si>
  <si>
    <t>₩436,051,095</t>
  </si>
  <si>
    <t>₩83,934,521,580</t>
  </si>
  <si>
    <t>309960</t>
  </si>
  <si>
    <t>LB인베스트먼트</t>
  </si>
  <si>
    <t>₩291,058,863</t>
  </si>
  <si>
    <t>₩89,966,801,125</t>
  </si>
  <si>
    <t>217330</t>
  </si>
  <si>
    <t>싸이토젠</t>
  </si>
  <si>
    <t>₩497,592,860</t>
  </si>
  <si>
    <t>₩159,593,874,300</t>
  </si>
  <si>
    <t>033530</t>
  </si>
  <si>
    <t>SJG세종</t>
  </si>
  <si>
    <t>₩118,543,323</t>
  </si>
  <si>
    <t>₩118,239,084,250</t>
  </si>
  <si>
    <t>352770</t>
  </si>
  <si>
    <t>클리노믹스</t>
  </si>
  <si>
    <t>₩137,950,330</t>
  </si>
  <si>
    <t>₩23,487,212,252</t>
  </si>
  <si>
    <t>003580</t>
  </si>
  <si>
    <t>HLB글로벌</t>
  </si>
  <si>
    <t>₩511,066,672</t>
  </si>
  <si>
    <t>₩177,611,070,340</t>
  </si>
  <si>
    <t>290550</t>
  </si>
  <si>
    <t>디케이티</t>
  </si>
  <si>
    <t>₩807,010,158</t>
  </si>
  <si>
    <t>₩161,009,901,500</t>
  </si>
  <si>
    <t>112290</t>
  </si>
  <si>
    <t>와이씨켐</t>
  </si>
  <si>
    <t>₩4,257,749,560</t>
  </si>
  <si>
    <t>₩143,367,528,100</t>
  </si>
  <si>
    <t>002310</t>
  </si>
  <si>
    <t>아세아제지</t>
  </si>
  <si>
    <t>₩785,639,020</t>
  </si>
  <si>
    <t>₩354,667,007,900</t>
  </si>
  <si>
    <t>049950</t>
  </si>
  <si>
    <t>미래컴퍼니</t>
  </si>
  <si>
    <t>₩439,205,270</t>
  </si>
  <si>
    <t>₩155,194,758,400</t>
  </si>
  <si>
    <t>347700</t>
  </si>
  <si>
    <t>라이프시맨틱스</t>
  </si>
  <si>
    <t>₩2,931,966,067</t>
  </si>
  <si>
    <t>₩89,171,306,875</t>
  </si>
  <si>
    <t>114840</t>
  </si>
  <si>
    <t>아이패밀리에스씨</t>
  </si>
  <si>
    <t>₩3,419,150,967</t>
  </si>
  <si>
    <t>₩303,803,053,280</t>
  </si>
  <si>
    <t>051905</t>
  </si>
  <si>
    <t>LG생활건강우</t>
  </si>
  <si>
    <t>₩334,800,786</t>
  </si>
  <si>
    <t>₩299,626,761,900</t>
  </si>
  <si>
    <t>33626K</t>
  </si>
  <si>
    <t>두산퓨얼셀1우</t>
  </si>
  <si>
    <t>₩41,645,235</t>
  </si>
  <si>
    <t>₩64,415,444,000</t>
  </si>
  <si>
    <t>241590</t>
  </si>
  <si>
    <t>화승엔터프라이즈</t>
  </si>
  <si>
    <t>₩4,058,513,970</t>
  </si>
  <si>
    <t>₩581,657,049,600</t>
  </si>
  <si>
    <t>042110</t>
  </si>
  <si>
    <t>에스씨디</t>
  </si>
  <si>
    <t>₩86,075,730</t>
  </si>
  <si>
    <t>₩71,576,084,284</t>
  </si>
  <si>
    <t>078160</t>
  </si>
  <si>
    <t>메디포스트</t>
  </si>
  <si>
    <t>₩1,944,926,809</t>
  </si>
  <si>
    <t>₩290,166,816,800</t>
  </si>
  <si>
    <t>352910</t>
  </si>
  <si>
    <t>오비고</t>
  </si>
  <si>
    <t>₩90,955,805</t>
  </si>
  <si>
    <t>₩83,030,359,140</t>
  </si>
  <si>
    <t>270870</t>
  </si>
  <si>
    <t>뉴트리</t>
  </si>
  <si>
    <t>₩284,838,386</t>
  </si>
  <si>
    <t>₩83,814,040,640</t>
  </si>
  <si>
    <t>451220</t>
  </si>
  <si>
    <t>아이엠티</t>
  </si>
  <si>
    <t>₩1,030,607,649</t>
  </si>
  <si>
    <t>₩65,753,001,850</t>
  </si>
  <si>
    <t>039020</t>
  </si>
  <si>
    <t>이건홀딩스</t>
  </si>
  <si>
    <t>₩418,045,157</t>
  </si>
  <si>
    <t>₩82,095,417,215</t>
  </si>
  <si>
    <t>236810</t>
  </si>
  <si>
    <t>엔비티</t>
  </si>
  <si>
    <t>₩321,611,166</t>
  </si>
  <si>
    <t>₩55,934,028,670</t>
  </si>
  <si>
    <t>000660</t>
  </si>
  <si>
    <t>SK하이닉스</t>
  </si>
  <si>
    <t>₩760,989,723,729</t>
  </si>
  <si>
    <t>₩140,213,255,499,000</t>
  </si>
  <si>
    <t>263600</t>
  </si>
  <si>
    <t>덕우전자</t>
  </si>
  <si>
    <t>₩149,776,068</t>
  </si>
  <si>
    <t>₩88,253,917,400</t>
  </si>
  <si>
    <t>079980</t>
  </si>
  <si>
    <t>휴비스</t>
  </si>
  <si>
    <t>₩88,869,999</t>
  </si>
  <si>
    <t>₩87,975,000,000</t>
  </si>
  <si>
    <t>001070</t>
  </si>
  <si>
    <t>대한방직</t>
  </si>
  <si>
    <t>₩11,824,056</t>
  </si>
  <si>
    <t>₩30,422,000,000</t>
  </si>
  <si>
    <t>291810</t>
  </si>
  <si>
    <t>핀텔</t>
  </si>
  <si>
    <t>₩37,779,437</t>
  </si>
  <si>
    <t>₩21,602,368,224</t>
  </si>
  <si>
    <t>049720</t>
  </si>
  <si>
    <t>고려신용정보</t>
  </si>
  <si>
    <t>₩284,234,910</t>
  </si>
  <si>
    <t>₩137,566,000,000</t>
  </si>
  <si>
    <t>177350</t>
  </si>
  <si>
    <t>베셀</t>
  </si>
  <si>
    <t>₩2,285,160,124</t>
  </si>
  <si>
    <t>₩20,108,709,675</t>
  </si>
  <si>
    <t>353590</t>
  </si>
  <si>
    <t>오토앤</t>
  </si>
  <si>
    <t>₩195,360,016</t>
  </si>
  <si>
    <t>₩56,974,397,250</t>
  </si>
  <si>
    <t>263800</t>
  </si>
  <si>
    <t>데이타솔루션</t>
  </si>
  <si>
    <t>₩3,764,281,905</t>
  </si>
  <si>
    <t>₩76,474,376,700</t>
  </si>
  <si>
    <t>119650</t>
  </si>
  <si>
    <t>KC코트렐</t>
  </si>
  <si>
    <t>₩424,519,076</t>
  </si>
  <si>
    <t>₩28,318,519,089</t>
  </si>
  <si>
    <t>221840</t>
  </si>
  <si>
    <t>하이즈항공</t>
  </si>
  <si>
    <t>₩8,987,159</t>
  </si>
  <si>
    <t>₩34,670,840,094</t>
  </si>
  <si>
    <t>319660</t>
  </si>
  <si>
    <t>피에스케이</t>
  </si>
  <si>
    <t>₩4,509,711,932</t>
  </si>
  <si>
    <t>₩548,919,230,300</t>
  </si>
  <si>
    <t>055550</t>
  </si>
  <si>
    <t>신한지주</t>
  </si>
  <si>
    <t>₩68,797,140,248</t>
  </si>
  <si>
    <t>₩28,780,716,591,000</t>
  </si>
  <si>
    <t>092440</t>
  </si>
  <si>
    <t>기신정기</t>
  </si>
  <si>
    <t>₩84,443,683</t>
  </si>
  <si>
    <t>₩74,460,000,000</t>
  </si>
  <si>
    <t>950170</t>
  </si>
  <si>
    <t>JTC</t>
  </si>
  <si>
    <t>₩122,489,385</t>
  </si>
  <si>
    <t>₩194,048,805,000</t>
  </si>
  <si>
    <t>317870</t>
  </si>
  <si>
    <t>엔바이오니아</t>
  </si>
  <si>
    <t>₩328,167,052</t>
  </si>
  <si>
    <t>₩142,402,995,000</t>
  </si>
  <si>
    <t>095910</t>
  </si>
  <si>
    <t>에스에너지</t>
  </si>
  <si>
    <t>₩57,710,622</t>
  </si>
  <si>
    <t>₩27,169,772,679</t>
  </si>
  <si>
    <t>462510</t>
  </si>
  <si>
    <t>라메디텍</t>
  </si>
  <si>
    <t>₩2,003,680,566</t>
  </si>
  <si>
    <t>₩86,507,350,000</t>
  </si>
  <si>
    <t>33626L</t>
  </si>
  <si>
    <t>두산퓨얼셀2우B</t>
  </si>
  <si>
    <t>₩23,943,319</t>
  </si>
  <si>
    <t>₩23,950,126,000</t>
  </si>
  <si>
    <t>171090</t>
  </si>
  <si>
    <t>선익시스템</t>
  </si>
  <si>
    <t>₩3,381,344,893</t>
  </si>
  <si>
    <t>₩473,770,809,500</t>
  </si>
  <si>
    <t>348950</t>
  </si>
  <si>
    <t>제이알글로벌리츠</t>
  </si>
  <si>
    <t>₩1,313,039,717</t>
  </si>
  <si>
    <t>₩584,232,960,000</t>
  </si>
  <si>
    <t>027580</t>
  </si>
  <si>
    <t>상보</t>
  </si>
  <si>
    <t>₩262,799,923</t>
  </si>
  <si>
    <t>₩68,768,646,198</t>
  </si>
  <si>
    <t>048770</t>
  </si>
  <si>
    <t>TPC</t>
  </si>
  <si>
    <t>₩49,577,397</t>
  </si>
  <si>
    <t>₩34,928,029,975</t>
  </si>
  <si>
    <t>089970</t>
  </si>
  <si>
    <t>브이엠</t>
  </si>
  <si>
    <t>₩844,355,066</t>
  </si>
  <si>
    <t>₩203,438,777,750</t>
  </si>
  <si>
    <t>098460</t>
  </si>
  <si>
    <t>고영</t>
  </si>
  <si>
    <t>₩5,994,249,053</t>
  </si>
  <si>
    <t>₩615,833,152,350</t>
  </si>
  <si>
    <t>011330</t>
  </si>
  <si>
    <t>유니켐</t>
  </si>
  <si>
    <t>₩416,310,508</t>
  </si>
  <si>
    <t>₩142,585,835,490</t>
  </si>
  <si>
    <t>005385</t>
  </si>
  <si>
    <t>현대차우</t>
  </si>
  <si>
    <t>₩11,123,932,062</t>
  </si>
  <si>
    <t>₩3,740,740,519,600</t>
  </si>
  <si>
    <t>023460</t>
  </si>
  <si>
    <t>CNH</t>
  </si>
  <si>
    <t>₩864,430,638</t>
  </si>
  <si>
    <t>₩4,054,800,000</t>
  </si>
  <si>
    <t>363260</t>
  </si>
  <si>
    <t>모비데이즈</t>
  </si>
  <si>
    <t>₩15,192,344,157</t>
  </si>
  <si>
    <t>₩57,122,853,744</t>
  </si>
  <si>
    <t>011210</t>
  </si>
  <si>
    <t>현대위아</t>
  </si>
  <si>
    <t>₩4,729,885,117</t>
  </si>
  <si>
    <t>₩1,125,876,436,200</t>
  </si>
  <si>
    <t>313760</t>
  </si>
  <si>
    <t>캐리</t>
  </si>
  <si>
    <t>₩669,643,406</t>
  </si>
  <si>
    <t>₩52,580,442,450</t>
  </si>
  <si>
    <t>109860</t>
  </si>
  <si>
    <t>동일금속</t>
  </si>
  <si>
    <t>₩18,150,060</t>
  </si>
  <si>
    <t>₩78,260,000,000</t>
  </si>
  <si>
    <t>100590</t>
  </si>
  <si>
    <t>머큐리</t>
  </si>
  <si>
    <t>₩4,789,516,839</t>
  </si>
  <si>
    <t>₩68,385,699,360</t>
  </si>
  <si>
    <t>049830</t>
  </si>
  <si>
    <t>승일</t>
  </si>
  <si>
    <t>₩10,947,485</t>
  </si>
  <si>
    <t>₩44,212,527,520</t>
  </si>
  <si>
    <t>004270</t>
  </si>
  <si>
    <t>남성</t>
  </si>
  <si>
    <t>₩1,209,020,319</t>
  </si>
  <si>
    <t>₩45,084,139,200</t>
  </si>
  <si>
    <t>036930</t>
  </si>
  <si>
    <t>주성엔지니어링</t>
  </si>
  <si>
    <t>₩32,149,122,993</t>
  </si>
  <si>
    <t>₩1,403,869,133,700</t>
  </si>
  <si>
    <t>093240</t>
  </si>
  <si>
    <t>형지엘리트</t>
  </si>
  <si>
    <t>₩780,068,527</t>
  </si>
  <si>
    <t>₩45,609,280,425</t>
  </si>
  <si>
    <t>036120</t>
  </si>
  <si>
    <t>SCI평가정보</t>
  </si>
  <si>
    <t>₩163,418,086</t>
  </si>
  <si>
    <t>₩80,407,500,000</t>
  </si>
  <si>
    <t>363250</t>
  </si>
  <si>
    <t>진시스템</t>
  </si>
  <si>
    <t>₩457,767,784</t>
  </si>
  <si>
    <t>₩81,975,944,700</t>
  </si>
  <si>
    <t>011070</t>
  </si>
  <si>
    <t>LG이노텍</t>
  </si>
  <si>
    <t>₩35,323,696,767</t>
  </si>
  <si>
    <t>₩3,945,306,736,900</t>
  </si>
  <si>
    <t>094800</t>
  </si>
  <si>
    <t>맵스리얼티1</t>
  </si>
  <si>
    <t>₩235,630,193</t>
  </si>
  <si>
    <t>₩408,935,228,055</t>
  </si>
  <si>
    <t>214420</t>
  </si>
  <si>
    <t>토니모리</t>
  </si>
  <si>
    <t>₩1,722,174,852</t>
  </si>
  <si>
    <t>₩161,407,701,290</t>
  </si>
  <si>
    <t>198080</t>
  </si>
  <si>
    <t>엔피디</t>
  </si>
  <si>
    <t>₩317,337,096</t>
  </si>
  <si>
    <t>₩60,298,518,000</t>
  </si>
  <si>
    <t>010140</t>
  </si>
  <si>
    <t>삼성중공업</t>
  </si>
  <si>
    <t>₩59,183,334,560</t>
  </si>
  <si>
    <t>₩10,401,600,000,000</t>
  </si>
  <si>
    <t>013720</t>
  </si>
  <si>
    <t>CBI</t>
  </si>
  <si>
    <t>₩314,691,476</t>
  </si>
  <si>
    <t>₩47,171,939,752</t>
  </si>
  <si>
    <t>214450</t>
  </si>
  <si>
    <t>파마리서치</t>
  </si>
  <si>
    <t>₩29,885,035,500</t>
  </si>
  <si>
    <t>₩2,327,876,400,000</t>
  </si>
  <si>
    <t>218150</t>
  </si>
  <si>
    <t>미래생명자원</t>
  </si>
  <si>
    <t>₩13,079,701,615</t>
  </si>
  <si>
    <t>₩84,929,736,320</t>
  </si>
  <si>
    <t>352940</t>
  </si>
  <si>
    <t>인바이오</t>
  </si>
  <si>
    <t>₩25,749,498</t>
  </si>
  <si>
    <t>₩23,528,635,450</t>
  </si>
  <si>
    <t>005935</t>
  </si>
  <si>
    <t>삼성전자우</t>
  </si>
  <si>
    <t>₩76,217,001,862</t>
  </si>
  <si>
    <t>₩37,852,788,200,000</t>
  </si>
  <si>
    <t>300080</t>
  </si>
  <si>
    <t>플리토</t>
  </si>
  <si>
    <t>₩258,322,530</t>
  </si>
  <si>
    <t>₩83,902,709,250</t>
  </si>
  <si>
    <t>306040</t>
  </si>
  <si>
    <t>에스제이그룹</t>
  </si>
  <si>
    <t>₩107,518,810</t>
  </si>
  <si>
    <t>₩57,123,144,120</t>
  </si>
  <si>
    <t>015750</t>
  </si>
  <si>
    <t>성우하이텍</t>
  </si>
  <si>
    <t>₩1,717,790,539</t>
  </si>
  <si>
    <t>₩472,000,000,000</t>
  </si>
  <si>
    <t>318010</t>
  </si>
  <si>
    <t>팜스빌</t>
  </si>
  <si>
    <t>₩725,969,164</t>
  </si>
  <si>
    <t>₩38,298,702,540</t>
  </si>
  <si>
    <t>048430</t>
  </si>
  <si>
    <t>유라테크</t>
  </si>
  <si>
    <t>₩135,807,647</t>
  </si>
  <si>
    <t>₩74,880,000,000</t>
  </si>
  <si>
    <t>014830</t>
  </si>
  <si>
    <t>유니드</t>
  </si>
  <si>
    <t>₩1,998,785,410</t>
  </si>
  <si>
    <t>₩425,682,040,000</t>
  </si>
  <si>
    <t>215790</t>
  </si>
  <si>
    <t>이노인스트루먼트</t>
  </si>
  <si>
    <t>₩151,034,174</t>
  </si>
  <si>
    <t>₩21,148,653,225</t>
  </si>
  <si>
    <t>004415</t>
  </si>
  <si>
    <t>서울식품우</t>
  </si>
  <si>
    <t>₩9,236,661</t>
  </si>
  <si>
    <t>₩2,716,114,500</t>
  </si>
  <si>
    <t>068050</t>
  </si>
  <si>
    <t>팬엔터테인먼트</t>
  </si>
  <si>
    <t>₩81,454,668</t>
  </si>
  <si>
    <t>₩57,465,207,700</t>
  </si>
  <si>
    <t>028080</t>
  </si>
  <si>
    <t>휴맥스홀딩스</t>
  </si>
  <si>
    <t>₩153,780,695</t>
  </si>
  <si>
    <t>₩37,858,293,060</t>
  </si>
  <si>
    <t>090710</t>
  </si>
  <si>
    <t>휴림로봇</t>
  </si>
  <si>
    <t>₩4,572,400,899</t>
  </si>
  <si>
    <t>₩136,480,840,425</t>
  </si>
  <si>
    <t>187270</t>
  </si>
  <si>
    <t>신화콘텍</t>
  </si>
  <si>
    <t>₩76,562,529</t>
  </si>
  <si>
    <t>₩33,221,092,375</t>
  </si>
  <si>
    <t>294870</t>
  </si>
  <si>
    <t>HDC현대산업개발</t>
  </si>
  <si>
    <t>₩7,441,029,379</t>
  </si>
  <si>
    <t>₩1,337,918,799,000</t>
  </si>
  <si>
    <t>100120</t>
  </si>
  <si>
    <t>뷰웍스</t>
  </si>
  <si>
    <t>₩147,044,331</t>
  </si>
  <si>
    <t>₩232,543,361,250</t>
  </si>
  <si>
    <t>046890</t>
  </si>
  <si>
    <t>서울반도체</t>
  </si>
  <si>
    <t>₩8,558,839,292</t>
  </si>
  <si>
    <t>₩471,107,632,000</t>
  </si>
  <si>
    <t>254120</t>
  </si>
  <si>
    <t>자비스</t>
  </si>
  <si>
    <t>₩187,540,999</t>
  </si>
  <si>
    <t>₩54,742,600,600</t>
  </si>
  <si>
    <t>052860</t>
  </si>
  <si>
    <t>아이앤씨</t>
  </si>
  <si>
    <t>₩31,419,037</t>
  </si>
  <si>
    <t>₩28,133,995,050</t>
  </si>
  <si>
    <t>145720</t>
  </si>
  <si>
    <t>덴티움</t>
  </si>
  <si>
    <t>₩4,499,497,310</t>
  </si>
  <si>
    <t>₩669,664,215,000</t>
  </si>
  <si>
    <t>060260</t>
  </si>
  <si>
    <t>뉴보텍</t>
  </si>
  <si>
    <t>₩174,415,759</t>
  </si>
  <si>
    <t>₩14,390,289,585</t>
  </si>
  <si>
    <t>033310</t>
  </si>
  <si>
    <t>엠투엔</t>
  </si>
  <si>
    <t>₩62,827,724</t>
  </si>
  <si>
    <t>₩76,650,238,900</t>
  </si>
  <si>
    <t>011230</t>
  </si>
  <si>
    <t>삼화전자</t>
  </si>
  <si>
    <t>₩77,577,881</t>
  </si>
  <si>
    <t>₩45,637,290,000</t>
  </si>
  <si>
    <t>011500</t>
  </si>
  <si>
    <t>한농화성</t>
  </si>
  <si>
    <t>₩10,858,936,238</t>
  </si>
  <si>
    <t>₩249,254,449,480</t>
  </si>
  <si>
    <t>032800</t>
  </si>
  <si>
    <t>판타지오</t>
  </si>
  <si>
    <t>₩96,088,059</t>
  </si>
  <si>
    <t>₩29,688,259,468</t>
  </si>
  <si>
    <t>090370</t>
  </si>
  <si>
    <t>메타랩스</t>
  </si>
  <si>
    <t>₩20,454,287</t>
  </si>
  <si>
    <t>₩40,345,596,180</t>
  </si>
  <si>
    <t>246720</t>
  </si>
  <si>
    <t>아스타</t>
  </si>
  <si>
    <t>₩105,860,619</t>
  </si>
  <si>
    <t>₩67,158,135,000</t>
  </si>
  <si>
    <t>030210</t>
  </si>
  <si>
    <t>다올투자증권</t>
  </si>
  <si>
    <t>₩91,439,364</t>
  </si>
  <si>
    <t>₩160,805,319,840</t>
  </si>
  <si>
    <t>354320</t>
  </si>
  <si>
    <t>알멕</t>
  </si>
  <si>
    <t>₩1,453,381,857</t>
  </si>
  <si>
    <t>₩175,123,839,400</t>
  </si>
  <si>
    <t>012750</t>
  </si>
  <si>
    <t>에스원</t>
  </si>
  <si>
    <t>₩2,096,068,362</t>
  </si>
  <si>
    <t>₩2,458,546,816,600</t>
  </si>
  <si>
    <t>001800</t>
  </si>
  <si>
    <t>오리온홀딩스</t>
  </si>
  <si>
    <t>₩1,140,492,193</t>
  </si>
  <si>
    <t>₩1,002,953,206,220</t>
  </si>
  <si>
    <t>001260</t>
  </si>
  <si>
    <t>남광토건</t>
  </si>
  <si>
    <t>₩149,748,059</t>
  </si>
  <si>
    <t>₩73,350,987,120</t>
  </si>
  <si>
    <t>123750</t>
  </si>
  <si>
    <t>알톤</t>
  </si>
  <si>
    <t>₩14,454,801</t>
  </si>
  <si>
    <t>₩19,769,506,647</t>
  </si>
  <si>
    <t>359090</t>
  </si>
  <si>
    <t>씨엔알리서치</t>
  </si>
  <si>
    <t>₩459,431,170</t>
  </si>
  <si>
    <t>₩62,114,850,645</t>
  </si>
  <si>
    <t>099220</t>
  </si>
  <si>
    <t>SDN</t>
  </si>
  <si>
    <t>₩1,934,441,327</t>
  </si>
  <si>
    <t>₩60,946,414,935</t>
  </si>
  <si>
    <t>065950</t>
  </si>
  <si>
    <t>웰크론</t>
  </si>
  <si>
    <t>₩269,735,138</t>
  </si>
  <si>
    <t>₩59,850,360,240</t>
  </si>
  <si>
    <t>256630</t>
  </si>
  <si>
    <t>포인트엔지니어링</t>
  </si>
  <si>
    <t>₩43,161,037</t>
  </si>
  <si>
    <t>₩74,294,249,232</t>
  </si>
  <si>
    <t>093640</t>
  </si>
  <si>
    <t>케이알엠</t>
  </si>
  <si>
    <t>₩812,686,504</t>
  </si>
  <si>
    <t>₩134,736,163,200</t>
  </si>
  <si>
    <t>268280</t>
  </si>
  <si>
    <t>미원에스씨</t>
  </si>
  <si>
    <t>₩108,270,229</t>
  </si>
  <si>
    <t>₩668,000,000,000</t>
  </si>
  <si>
    <t>214270</t>
  </si>
  <si>
    <t>FSN</t>
  </si>
  <si>
    <t>₩3,096,017,173</t>
  </si>
  <si>
    <t>₩73,816,027,860</t>
  </si>
  <si>
    <t>366030</t>
  </si>
  <si>
    <t>공구우먼</t>
  </si>
  <si>
    <t>₩218,945,548</t>
  </si>
  <si>
    <t>₩91,068,477,000</t>
  </si>
  <si>
    <t>222420</t>
  </si>
  <si>
    <t>쎄노텍</t>
  </si>
  <si>
    <t>₩24,973,938</t>
  </si>
  <si>
    <t>₩34,049,713,019</t>
  </si>
  <si>
    <t>003090</t>
  </si>
  <si>
    <t>대웅</t>
  </si>
  <si>
    <t>₩1,769,035,924</t>
  </si>
  <si>
    <t>₩1,375,057,827,000</t>
  </si>
  <si>
    <t>215000</t>
  </si>
  <si>
    <t>골프존</t>
  </si>
  <si>
    <t>₩1,203,788,700</t>
  </si>
  <si>
    <t>₩412,922,307,000</t>
  </si>
  <si>
    <t>017550</t>
  </si>
  <si>
    <t>수산중공업</t>
  </si>
  <si>
    <t>₩447,616,817</t>
  </si>
  <si>
    <t>₩114,752,000,070</t>
  </si>
  <si>
    <t>452160</t>
  </si>
  <si>
    <t>제이엔비</t>
  </si>
  <si>
    <t>₩276,127,309</t>
  </si>
  <si>
    <t>₩50,203,490,940</t>
  </si>
  <si>
    <t>057540</t>
  </si>
  <si>
    <t>옴니시스템</t>
  </si>
  <si>
    <t>₩146,609,293</t>
  </si>
  <si>
    <t>₩45,042,377,215</t>
  </si>
  <si>
    <t>311690</t>
  </si>
  <si>
    <t>CJ 바이오사이언스</t>
  </si>
  <si>
    <t>₩61,659,592</t>
  </si>
  <si>
    <t>₩92,309,645,260</t>
  </si>
  <si>
    <t>089850</t>
  </si>
  <si>
    <t>유비벨록스</t>
  </si>
  <si>
    <t>₩164,079,637</t>
  </si>
  <si>
    <t>₩98,397,729,320</t>
  </si>
  <si>
    <t>131400</t>
  </si>
  <si>
    <t>이브이첨단소재</t>
  </si>
  <si>
    <t>₩4,917,694,200</t>
  </si>
  <si>
    <t>₩129,905,942,760</t>
  </si>
  <si>
    <t>008700</t>
  </si>
  <si>
    <t>아남전자</t>
  </si>
  <si>
    <t>₩1,206,755,303</t>
  </si>
  <si>
    <t>₩98,488,395,140</t>
  </si>
  <si>
    <t>200880</t>
  </si>
  <si>
    <t>서연이화</t>
  </si>
  <si>
    <t>₩3,451,782,655</t>
  </si>
  <si>
    <t>₩355,423,946,550</t>
  </si>
  <si>
    <t>037350</t>
  </si>
  <si>
    <t>성도이엔지</t>
  </si>
  <si>
    <t>₩170,945,190</t>
  </si>
  <si>
    <t>₩66,211,600,000</t>
  </si>
  <si>
    <t>058450</t>
  </si>
  <si>
    <t>한주에이알티</t>
  </si>
  <si>
    <t>₩230,346,148</t>
  </si>
  <si>
    <t>₩33,168,416,355</t>
  </si>
  <si>
    <t>042510</t>
  </si>
  <si>
    <t>라온시큐어</t>
  </si>
  <si>
    <t>₩260,390,731</t>
  </si>
  <si>
    <t>₩105,104,533,996</t>
  </si>
  <si>
    <t>039290</t>
  </si>
  <si>
    <t>인포뱅크</t>
  </si>
  <si>
    <t>₩172,480,826</t>
  </si>
  <si>
    <t>₩53,989,603,380</t>
  </si>
  <si>
    <t>173940</t>
  </si>
  <si>
    <t>에프엔씨엔터</t>
  </si>
  <si>
    <t>₩60,416,010</t>
  </si>
  <si>
    <t>₩53,643,935,880</t>
  </si>
  <si>
    <t>128660</t>
  </si>
  <si>
    <t>피제이메탈</t>
  </si>
  <si>
    <t>₩444,961,632</t>
  </si>
  <si>
    <t>₩78,998,730,265</t>
  </si>
  <si>
    <t>078000</t>
  </si>
  <si>
    <t>텔코웨어</t>
  </si>
  <si>
    <t>₩14,534,581</t>
  </si>
  <si>
    <t>₩92,308,369,230</t>
  </si>
  <si>
    <t>395400</t>
  </si>
  <si>
    <t>SK리츠</t>
  </si>
  <si>
    <t>₩1,624,247,545</t>
  </si>
  <si>
    <t>₩1,211,182,538,400</t>
  </si>
  <si>
    <t>022100</t>
  </si>
  <si>
    <t>포스코DX</t>
  </si>
  <si>
    <t>₩11,990,368,755</t>
  </si>
  <si>
    <t>₩3,793,266,488,550</t>
  </si>
  <si>
    <t>138490</t>
  </si>
  <si>
    <t>코오롱ENP</t>
  </si>
  <si>
    <t>₩2,196,484,219</t>
  </si>
  <si>
    <t>₩220,400,000,000</t>
  </si>
  <si>
    <t>009320</t>
  </si>
  <si>
    <t>아진전자부품</t>
  </si>
  <si>
    <t>₩800,456,101</t>
  </si>
  <si>
    <t>₩54,426,946,080</t>
  </si>
  <si>
    <t>005320</t>
  </si>
  <si>
    <t>온타이드</t>
  </si>
  <si>
    <t>₩76,257,547</t>
  </si>
  <si>
    <t>₩27,402,454,079</t>
  </si>
  <si>
    <t>017510</t>
  </si>
  <si>
    <t>세명전기</t>
  </si>
  <si>
    <t>₩1,672,590,372</t>
  </si>
  <si>
    <t>₩81,566,100,000</t>
  </si>
  <si>
    <t>122450</t>
  </si>
  <si>
    <t>KX</t>
  </si>
  <si>
    <t>₩56,278,374</t>
  </si>
  <si>
    <t>₩156,182,395,980</t>
  </si>
  <si>
    <t>097950</t>
  </si>
  <si>
    <t>CJ제일제당</t>
  </si>
  <si>
    <t>₩9,543,788,714</t>
  </si>
  <si>
    <t>₩3,921,615,453,000</t>
  </si>
  <si>
    <t>084110</t>
  </si>
  <si>
    <t>휴온스글로벌</t>
  </si>
  <si>
    <t>₩3,703,857,281</t>
  </si>
  <si>
    <t>₩551,559,200,400</t>
  </si>
  <si>
    <t>432430</t>
  </si>
  <si>
    <t>와이랩</t>
  </si>
  <si>
    <t>₩719,446,319</t>
  </si>
  <si>
    <t>₩82,366,003,200</t>
  </si>
  <si>
    <t>218410</t>
  </si>
  <si>
    <t>RFHIC</t>
  </si>
  <si>
    <t>₩4,172,788,432</t>
  </si>
  <si>
    <t>₩375,814,231,980</t>
  </si>
  <si>
    <t>147760</t>
  </si>
  <si>
    <t>피엠티</t>
  </si>
  <si>
    <t>₩3,417,042,592</t>
  </si>
  <si>
    <t>₩37,166,239,710</t>
  </si>
  <si>
    <t>002210</t>
  </si>
  <si>
    <t>동성제약</t>
  </si>
  <si>
    <t>₩173,812,722</t>
  </si>
  <si>
    <t>₩117,454,365,000</t>
  </si>
  <si>
    <t>399720</t>
  </si>
  <si>
    <t>가온칩스</t>
  </si>
  <si>
    <t>₩3,298,616,112</t>
  </si>
  <si>
    <t>₩426,216,672,000</t>
  </si>
  <si>
    <t>002710</t>
  </si>
  <si>
    <t>TCC스틸</t>
  </si>
  <si>
    <t>₩17,331,721,112</t>
  </si>
  <si>
    <t>₩1,027,576,922,400</t>
  </si>
  <si>
    <t>038110</t>
  </si>
  <si>
    <t>에코플라스틱</t>
  </si>
  <si>
    <t>₩307,821,224</t>
  </si>
  <si>
    <t>₩109,716,371,050</t>
  </si>
  <si>
    <t>033780</t>
  </si>
  <si>
    <t>KT&amp;G</t>
  </si>
  <si>
    <t>₩23,706,933,276</t>
  </si>
  <si>
    <t>₩15,458,924,634,000</t>
  </si>
  <si>
    <t>451250</t>
  </si>
  <si>
    <t>삐아</t>
  </si>
  <si>
    <t>₩2,830,500,436</t>
  </si>
  <si>
    <t>₩99,486,187,220</t>
  </si>
  <si>
    <t>097780</t>
  </si>
  <si>
    <t>에코볼트</t>
  </si>
  <si>
    <t>₩86,644,840</t>
  </si>
  <si>
    <t>₩57,367,596,286</t>
  </si>
  <si>
    <t>195870</t>
  </si>
  <si>
    <t>해성디에스</t>
  </si>
  <si>
    <t>₩1,373,787,902</t>
  </si>
  <si>
    <t>₩408,000,000,000</t>
  </si>
  <si>
    <t>092070</t>
  </si>
  <si>
    <t>디엔에프</t>
  </si>
  <si>
    <t>₩424,418,716</t>
  </si>
  <si>
    <t>₩118,032,951,600</t>
  </si>
  <si>
    <t>322780</t>
  </si>
  <si>
    <t>코퍼스코리아</t>
  </si>
  <si>
    <t>₩3,361,252,158</t>
  </si>
  <si>
    <t>₩36,111,847,576</t>
  </si>
  <si>
    <t>001840</t>
  </si>
  <si>
    <t>이화공영</t>
  </si>
  <si>
    <t>₩368,762,857</t>
  </si>
  <si>
    <t>₩49,712,457,600</t>
  </si>
  <si>
    <t>425040</t>
  </si>
  <si>
    <t>티이엠씨</t>
  </si>
  <si>
    <t>₩1,129,299,580</t>
  </si>
  <si>
    <t>₩171,807,459,720</t>
  </si>
  <si>
    <t>059100</t>
  </si>
  <si>
    <t>아이컴포넌트</t>
  </si>
  <si>
    <t>₩34,702,478</t>
  </si>
  <si>
    <t>₩31,818,870,000</t>
  </si>
  <si>
    <t>298050</t>
  </si>
  <si>
    <t>HS효성첨단소재</t>
  </si>
  <si>
    <t>₩4,588,423,533</t>
  </si>
  <si>
    <t>₩874,933,844,400</t>
  </si>
  <si>
    <t>048830</t>
  </si>
  <si>
    <t>엔피케이</t>
  </si>
  <si>
    <t>₩13,060,783</t>
  </si>
  <si>
    <t>₩21,981,885,602</t>
  </si>
  <si>
    <t>293780</t>
  </si>
  <si>
    <t>압타바이오</t>
  </si>
  <si>
    <t>₩1,316,787,200</t>
  </si>
  <si>
    <t>₩171,874,890,000</t>
  </si>
  <si>
    <t>008970</t>
  </si>
  <si>
    <t>동양철관</t>
  </si>
  <si>
    <t>₩874,585,283</t>
  </si>
  <si>
    <t>₩120,930,163,200</t>
  </si>
  <si>
    <t>317400</t>
  </si>
  <si>
    <t>자이에스앤디</t>
  </si>
  <si>
    <t>₩135,129,922</t>
  </si>
  <si>
    <t>₩140,974,460,200</t>
  </si>
  <si>
    <t>123860</t>
  </si>
  <si>
    <t>아나패스</t>
  </si>
  <si>
    <t>₩1,039,282,633</t>
  </si>
  <si>
    <t>₩272,170,666,750</t>
  </si>
  <si>
    <t>011690</t>
  </si>
  <si>
    <t>와이투솔루션</t>
  </si>
  <si>
    <t>₩238,977,169</t>
  </si>
  <si>
    <t>₩94,179,064,550</t>
  </si>
  <si>
    <t>066670</t>
  </si>
  <si>
    <t>디티씨</t>
  </si>
  <si>
    <t>₩75,162,638</t>
  </si>
  <si>
    <t>₩58,131,864,980</t>
  </si>
  <si>
    <t>443670</t>
  </si>
  <si>
    <t>에스피소프트</t>
  </si>
  <si>
    <t>₩7,283,592,288</t>
  </si>
  <si>
    <t>₩153,436,825,280</t>
  </si>
  <si>
    <t>083650</t>
  </si>
  <si>
    <t>비에이치아이</t>
  </si>
  <si>
    <t>₩37,457,148,473</t>
  </si>
  <si>
    <t>₩400,729,656,250</t>
  </si>
  <si>
    <t>005070</t>
  </si>
  <si>
    <t>코스모신소재</t>
  </si>
  <si>
    <t>₩14,988,978,229</t>
  </si>
  <si>
    <t>₩2,617,115,858,000</t>
  </si>
  <si>
    <t>090430</t>
  </si>
  <si>
    <t>아모레퍼시픽</t>
  </si>
  <si>
    <t>₩35,986,239,843</t>
  </si>
  <si>
    <t>₩6,820,255,699,400</t>
  </si>
  <si>
    <t>002760</t>
  </si>
  <si>
    <t>보락</t>
  </si>
  <si>
    <t>₩14,219,347,298</t>
  </si>
  <si>
    <t>₩71,640,400,000</t>
  </si>
  <si>
    <t>021040</t>
  </si>
  <si>
    <t>대호특수강</t>
  </si>
  <si>
    <t>₩20,090,797</t>
  </si>
  <si>
    <t>₩33,012,961,254</t>
  </si>
  <si>
    <t>001290</t>
  </si>
  <si>
    <t>상상인증권</t>
  </si>
  <si>
    <t>₩37,744,980</t>
  </si>
  <si>
    <t>₩48,535,029,760</t>
  </si>
  <si>
    <t>017370</t>
  </si>
  <si>
    <t>우신시스템</t>
  </si>
  <si>
    <t>₩939,002,320</t>
  </si>
  <si>
    <t>₩144,131,604,980</t>
  </si>
  <si>
    <t>032750</t>
  </si>
  <si>
    <t>삼진</t>
  </si>
  <si>
    <t>₩80,249,845</t>
  </si>
  <si>
    <t>₩38,291,957,280</t>
  </si>
  <si>
    <t>130580</t>
  </si>
  <si>
    <t>나이스디앤비</t>
  </si>
  <si>
    <t>₩25,976,584</t>
  </si>
  <si>
    <t>₩76,769,000,000</t>
  </si>
  <si>
    <t>050120</t>
  </si>
  <si>
    <t>ES큐브</t>
  </si>
  <si>
    <t>₩33,461,706</t>
  </si>
  <si>
    <t>₩24,483,175,230</t>
  </si>
  <si>
    <t>054670</t>
  </si>
  <si>
    <t>대한뉴팜</t>
  </si>
  <si>
    <t>₩392,934,847</t>
  </si>
  <si>
    <t>₩108,379,646,000</t>
  </si>
  <si>
    <t>214260</t>
  </si>
  <si>
    <t>라파스</t>
  </si>
  <si>
    <t>₩2,575,862,194</t>
  </si>
  <si>
    <t>₩128,126,568,680</t>
  </si>
  <si>
    <t>023160</t>
  </si>
  <si>
    <t>태광</t>
  </si>
  <si>
    <t>₩3,507,845,786</t>
  </si>
  <si>
    <t>₩382,395,000,000</t>
  </si>
  <si>
    <t>052460</t>
  </si>
  <si>
    <t>아이크래프트</t>
  </si>
  <si>
    <t>₩90,827,813</t>
  </si>
  <si>
    <t>₩33,452,173,440</t>
  </si>
  <si>
    <t>065500</t>
  </si>
  <si>
    <t>오리엔트정공</t>
  </si>
  <si>
    <t>₩89,197,465</t>
  </si>
  <si>
    <t>₩41,487,985,984</t>
  </si>
  <si>
    <t>075580</t>
  </si>
  <si>
    <t>세진중공업</t>
  </si>
  <si>
    <t>₩3,943,229,509</t>
  </si>
  <si>
    <t>₩422,959,952,640</t>
  </si>
  <si>
    <t>222110</t>
  </si>
  <si>
    <t>팬젠</t>
  </si>
  <si>
    <t>₩1,750,143,649</t>
  </si>
  <si>
    <t>₩82,739,047,160</t>
  </si>
  <si>
    <t>124560</t>
  </si>
  <si>
    <t>태웅로직스</t>
  </si>
  <si>
    <t>₩735,546,676</t>
  </si>
  <si>
    <t>₩112,944,756,960</t>
  </si>
  <si>
    <t>465770</t>
  </si>
  <si>
    <t>STX그린로지스</t>
  </si>
  <si>
    <t>₩5,703,773,382</t>
  </si>
  <si>
    <t>₩70,132,692,960</t>
  </si>
  <si>
    <t>950210</t>
  </si>
  <si>
    <t>프레스티지바이오파마</t>
  </si>
  <si>
    <t>₩7,262,000,749</t>
  </si>
  <si>
    <t>₩1,093,750,021,000</t>
  </si>
  <si>
    <t>026910</t>
  </si>
  <si>
    <t>광진실업</t>
  </si>
  <si>
    <t>₩19,187,740</t>
  </si>
  <si>
    <t>₩14,284,053,150</t>
  </si>
  <si>
    <t>089890</t>
  </si>
  <si>
    <t>코세스</t>
  </si>
  <si>
    <t>₩453,581,263</t>
  </si>
  <si>
    <t>₩130,026,102,080</t>
  </si>
  <si>
    <t>065170</t>
  </si>
  <si>
    <t>비엘팜텍</t>
  </si>
  <si>
    <t>₩1,311,053,298</t>
  </si>
  <si>
    <t>₩20,374,258,011</t>
  </si>
  <si>
    <t>002450</t>
  </si>
  <si>
    <t>삼익악기</t>
  </si>
  <si>
    <t>₩81,002,473</t>
  </si>
  <si>
    <t>₩99,584,006,500</t>
  </si>
  <si>
    <t>192820</t>
  </si>
  <si>
    <t>코스맥스</t>
  </si>
  <si>
    <t>₩18,954,160,076</t>
  </si>
  <si>
    <t>₩1,586,661,358,200</t>
  </si>
  <si>
    <t>020180</t>
  </si>
  <si>
    <t>대신정보통신</t>
  </si>
  <si>
    <t>₩50,875,991</t>
  </si>
  <si>
    <t>₩32,703,006,665</t>
  </si>
  <si>
    <t>170790</t>
  </si>
  <si>
    <t>파이오링크</t>
  </si>
  <si>
    <t>₩60,141,617</t>
  </si>
  <si>
    <t>₩57,318,918,800</t>
  </si>
  <si>
    <t>305090</t>
  </si>
  <si>
    <t>마이크로디지탈</t>
  </si>
  <si>
    <t>₩5,052,375,172</t>
  </si>
  <si>
    <t>₩230,471,908,800</t>
  </si>
  <si>
    <t>214430</t>
  </si>
  <si>
    <t>아이쓰리시스템</t>
  </si>
  <si>
    <t>₩2,874,584,926</t>
  </si>
  <si>
    <t>₩288,534,456,000</t>
  </si>
  <si>
    <t>043910</t>
  </si>
  <si>
    <t>자연과환경</t>
  </si>
  <si>
    <t>₩327,400,245</t>
  </si>
  <si>
    <t>₩67,354,525,458</t>
  </si>
  <si>
    <t>241770</t>
  </si>
  <si>
    <t>메카로</t>
  </si>
  <si>
    <t>₩461,284,133</t>
  </si>
  <si>
    <t>₩81,235,340,800</t>
  </si>
  <si>
    <t>014130</t>
  </si>
  <si>
    <t>한익스프레스</t>
  </si>
  <si>
    <t>₩151,185,004</t>
  </si>
  <si>
    <t>₩43,320,000,000</t>
  </si>
  <si>
    <t>261200</t>
  </si>
  <si>
    <t>덴티스</t>
  </si>
  <si>
    <t>₩137,297,402</t>
  </si>
  <si>
    <t>₩106,083,087,000</t>
  </si>
  <si>
    <t>170030</t>
  </si>
  <si>
    <t>현대공업</t>
  </si>
  <si>
    <t>₩195,531,667</t>
  </si>
  <si>
    <t>₩79,154,400,000</t>
  </si>
  <si>
    <t>053800</t>
  </si>
  <si>
    <t>안랩</t>
  </si>
  <si>
    <t>₩3,363,753,129</t>
  </si>
  <si>
    <t>₩696,519,275,600</t>
  </si>
  <si>
    <t>355690</t>
  </si>
  <si>
    <t>에이텀</t>
  </si>
  <si>
    <t>₩184,655,265</t>
  </si>
  <si>
    <t>₩32,105,581,200</t>
  </si>
  <si>
    <t>032980</t>
  </si>
  <si>
    <t>바이온</t>
  </si>
  <si>
    <t>₩180,908,501</t>
  </si>
  <si>
    <t>₩32,105,818,830</t>
  </si>
  <si>
    <t>277880</t>
  </si>
  <si>
    <t>티에스아이</t>
  </si>
  <si>
    <t>₩266,886,530</t>
  </si>
  <si>
    <t>₩116,126,392,320</t>
  </si>
  <si>
    <t>451760</t>
  </si>
  <si>
    <t>컨텍</t>
  </si>
  <si>
    <t>₩4,630,196,183</t>
  </si>
  <si>
    <t>₩186,307,735,720</t>
  </si>
  <si>
    <t>003490</t>
  </si>
  <si>
    <t>대한항공</t>
  </si>
  <si>
    <t>₩25,832,738,443</t>
  </si>
  <si>
    <t>₩8,763,651,731,800</t>
  </si>
  <si>
    <t>065370</t>
  </si>
  <si>
    <t>위세아이텍</t>
  </si>
  <si>
    <t>₩30,281,161</t>
  </si>
  <si>
    <t>₩31,529,483,580</t>
  </si>
  <si>
    <t>005945</t>
  </si>
  <si>
    <t>NH투자증권우</t>
  </si>
  <si>
    <t>₩473,433,944</t>
  </si>
  <si>
    <t>₩224,564,519,200</t>
  </si>
  <si>
    <t>439250</t>
  </si>
  <si>
    <t>삼성스팩7호</t>
  </si>
  <si>
    <t>₩92,211,138</t>
  </si>
  <si>
    <t>₩36,490,840,000</t>
  </si>
  <si>
    <t>330860</t>
  </si>
  <si>
    <t>네패스아크</t>
  </si>
  <si>
    <t>₩421,509,591</t>
  </si>
  <si>
    <t>₩147,426,944,500</t>
  </si>
  <si>
    <t>33637K</t>
  </si>
  <si>
    <t>솔루스첨단소재1우</t>
  </si>
  <si>
    <t>₩281,962,170</t>
  </si>
  <si>
    <t>₩43,455,528,620</t>
  </si>
  <si>
    <t>011560</t>
  </si>
  <si>
    <t>세보엠이씨</t>
  </si>
  <si>
    <t>₩404,165,794</t>
  </si>
  <si>
    <t>₩107,511,300,000</t>
  </si>
  <si>
    <t>225570</t>
  </si>
  <si>
    <t>넥슨게임즈</t>
  </si>
  <si>
    <t>₩9,012,752,434</t>
  </si>
  <si>
    <t>₩937,190,276,020</t>
  </si>
  <si>
    <t>014710</t>
  </si>
  <si>
    <t>사조씨푸드</t>
  </si>
  <si>
    <t>₩1,285,849,299</t>
  </si>
  <si>
    <t>₩93,668,873,920</t>
  </si>
  <si>
    <t>455900</t>
  </si>
  <si>
    <t>엔젤로보틱스</t>
  </si>
  <si>
    <t>₩5,624,874,671</t>
  </si>
  <si>
    <t>₩349,721,915,400</t>
  </si>
  <si>
    <t>056700</t>
  </si>
  <si>
    <t>신화인터텍</t>
  </si>
  <si>
    <t>₩147,030,452</t>
  </si>
  <si>
    <t>₩48,451,656,333</t>
  </si>
  <si>
    <t>417840</t>
  </si>
  <si>
    <t>저스템</t>
  </si>
  <si>
    <t>₩351,867,682</t>
  </si>
  <si>
    <t>₩49,149,406,500</t>
  </si>
  <si>
    <t>148150</t>
  </si>
  <si>
    <t>세경하이테크</t>
  </si>
  <si>
    <t>₩4,276,506,417</t>
  </si>
  <si>
    <t>₩233,451,392,790</t>
  </si>
  <si>
    <t>010060</t>
  </si>
  <si>
    <t>OCI홀딩스</t>
  </si>
  <si>
    <t>₩4,174,423,338</t>
  </si>
  <si>
    <t>₩1,151,466,650,600</t>
  </si>
  <si>
    <t>060900</t>
  </si>
  <si>
    <t>DGP</t>
  </si>
  <si>
    <t>₩171,392,582</t>
  </si>
  <si>
    <t>₩27,152,596,175</t>
  </si>
  <si>
    <t>040300</t>
  </si>
  <si>
    <t>YTN</t>
  </si>
  <si>
    <t>₩712,418,772</t>
  </si>
  <si>
    <t>₩127,470,000,000</t>
  </si>
  <si>
    <t>108230</t>
  </si>
  <si>
    <t>톱텍</t>
  </si>
  <si>
    <t>₩251,186,692</t>
  </si>
  <si>
    <t>₩190,496,457,450</t>
  </si>
  <si>
    <t>196450</t>
  </si>
  <si>
    <t>코아시아씨엠</t>
  </si>
  <si>
    <t>₩192,556,374</t>
  </si>
  <si>
    <t>₩42,237,850,424</t>
  </si>
  <si>
    <t>143210</t>
  </si>
  <si>
    <t>핸즈코퍼레이션</t>
  </si>
  <si>
    <t>₩30,278,148</t>
  </si>
  <si>
    <t>₩42,745,209,638</t>
  </si>
  <si>
    <t>160980</t>
  </si>
  <si>
    <t>싸이맥스</t>
  </si>
  <si>
    <t>₩259,137,926</t>
  </si>
  <si>
    <t>₩113,721,369,630</t>
  </si>
  <si>
    <t>388790</t>
  </si>
  <si>
    <t>라이콤</t>
  </si>
  <si>
    <t>₩10,938,236,579</t>
  </si>
  <si>
    <t>₩106,942,299,750</t>
  </si>
  <si>
    <t>289220</t>
  </si>
  <si>
    <t>자이언트스텝</t>
  </si>
  <si>
    <t>₩4,037,463,716</t>
  </si>
  <si>
    <t>₩141,136,733,100</t>
  </si>
  <si>
    <t>460860</t>
  </si>
  <si>
    <t>동국제강</t>
  </si>
  <si>
    <t>₩1,717,054,264</t>
  </si>
  <si>
    <t>₩423,156,385,010</t>
  </si>
  <si>
    <t>153490</t>
  </si>
  <si>
    <t>우리이앤엘</t>
  </si>
  <si>
    <t>₩79,534,379</t>
  </si>
  <si>
    <t>₩43,449,120,000</t>
  </si>
  <si>
    <t>067000</t>
  </si>
  <si>
    <t>조이시티</t>
  </si>
  <si>
    <t>₩145,435,798</t>
  </si>
  <si>
    <t>₩104,785,265,554</t>
  </si>
  <si>
    <t>106080</t>
  </si>
  <si>
    <t>하이소닉</t>
  </si>
  <si>
    <t>₩876,949,282</t>
  </si>
  <si>
    <t>₩62,312,441,400</t>
  </si>
  <si>
    <t>145210</t>
  </si>
  <si>
    <t>다이나믹디자인</t>
  </si>
  <si>
    <t>₩743,737,814</t>
  </si>
  <si>
    <t>₩80,575,330,710</t>
  </si>
  <si>
    <t>450080</t>
  </si>
  <si>
    <t>에코프로머티</t>
  </si>
  <si>
    <t>₩79,770,279,786</t>
  </si>
  <si>
    <t>₩7,494,159,883,000</t>
  </si>
  <si>
    <t>087010</t>
  </si>
  <si>
    <t>펩트론</t>
  </si>
  <si>
    <t>₩132,241,310,410</t>
  </si>
  <si>
    <t>₩2,278,505,705,000</t>
  </si>
  <si>
    <t>012280</t>
  </si>
  <si>
    <t>영화금속</t>
  </si>
  <si>
    <t>₩40,927,516</t>
  </si>
  <si>
    <t>₩40,194,984,890</t>
  </si>
  <si>
    <t>004150</t>
  </si>
  <si>
    <t>한솔홀딩스</t>
  </si>
  <si>
    <t>₩99,467,727</t>
  </si>
  <si>
    <t>₩94,519,298,250</t>
  </si>
  <si>
    <t>290560</t>
  </si>
  <si>
    <t>신시웨이</t>
  </si>
  <si>
    <t>₩83,421,217</t>
  </si>
  <si>
    <t>₩23,733,188,640</t>
  </si>
  <si>
    <t>144510</t>
  </si>
  <si>
    <t>지씨셀</t>
  </si>
  <si>
    <t>₩2,762,345,967</t>
  </si>
  <si>
    <t>₩484,280,543,600</t>
  </si>
  <si>
    <t>092730</t>
  </si>
  <si>
    <t>네오팜</t>
  </si>
  <si>
    <t>₩1,874,563,215</t>
  </si>
  <si>
    <t>₩111,373,888,770</t>
  </si>
  <si>
    <t>000150</t>
  </si>
  <si>
    <t>두산</t>
  </si>
  <si>
    <t>₩31,751,006,519</t>
  </si>
  <si>
    <t>₩3,866,577,390,000</t>
  </si>
  <si>
    <t>011170</t>
  </si>
  <si>
    <t>롯데케미칼</t>
  </si>
  <si>
    <t>₩10,793,749,386</t>
  </si>
  <si>
    <t>₩3,383,535,642,900</t>
  </si>
  <si>
    <t>060230</t>
  </si>
  <si>
    <t>소니드</t>
  </si>
  <si>
    <t>₩985,898,012</t>
  </si>
  <si>
    <t>₩54,819,408,700</t>
  </si>
  <si>
    <t>163730</t>
  </si>
  <si>
    <t>핑거</t>
  </si>
  <si>
    <t>₩28,920,184,604</t>
  </si>
  <si>
    <t>₩100,024,693,440</t>
  </si>
  <si>
    <t>106190</t>
  </si>
  <si>
    <t>하이텍팜</t>
  </si>
  <si>
    <t>₩477,613,903</t>
  </si>
  <si>
    <t>₩167,578,806,480</t>
  </si>
  <si>
    <t>192410</t>
  </si>
  <si>
    <t>휴림네트웍스</t>
  </si>
  <si>
    <t>₩259,982,778</t>
  </si>
  <si>
    <t>₩33,097,607,250</t>
  </si>
  <si>
    <t>382800</t>
  </si>
  <si>
    <t>지앤비에스 에코</t>
  </si>
  <si>
    <t>₩275,238,746</t>
  </si>
  <si>
    <t>₩93,311,570,950</t>
  </si>
  <si>
    <t>014620</t>
  </si>
  <si>
    <t>성광벤드</t>
  </si>
  <si>
    <t>₩5,589,072,966</t>
  </si>
  <si>
    <t>₩455,598,000,000</t>
  </si>
  <si>
    <t>004020</t>
  </si>
  <si>
    <t>현대제철</t>
  </si>
  <si>
    <t>₩8,272,782,457</t>
  </si>
  <si>
    <t>₩3,115,959,079,750</t>
  </si>
  <si>
    <t>002140</t>
  </si>
  <si>
    <t>고려산업</t>
  </si>
  <si>
    <t>₩14,860,218,528</t>
  </si>
  <si>
    <t>₩69,331,601,500</t>
  </si>
  <si>
    <t>380540</t>
  </si>
  <si>
    <t>옵티코어</t>
  </si>
  <si>
    <t>₩1,043,025,688</t>
  </si>
  <si>
    <t>₩38,981,491,164</t>
  </si>
  <si>
    <t>074430</t>
  </si>
  <si>
    <t>아미노로직스</t>
  </si>
  <si>
    <t>₩351,877,657</t>
  </si>
  <si>
    <t>₩96,521,701,556</t>
  </si>
  <si>
    <t>002870</t>
  </si>
  <si>
    <t>신풍</t>
  </si>
  <si>
    <t>₩141,606,691</t>
  </si>
  <si>
    <t>₩31,183,160,400</t>
  </si>
  <si>
    <t>365550</t>
  </si>
  <si>
    <t>ESR켄달스퀘어리츠</t>
  </si>
  <si>
    <t>₩911,198,878</t>
  </si>
  <si>
    <t>₩988,732,960,000</t>
  </si>
  <si>
    <t>031510</t>
  </si>
  <si>
    <t>오스템</t>
  </si>
  <si>
    <t>₩47,351,848</t>
  </si>
  <si>
    <t>₩36,708,000,000</t>
  </si>
  <si>
    <t>060480</t>
  </si>
  <si>
    <t>국일신동</t>
  </si>
  <si>
    <t>₩23,291,309</t>
  </si>
  <si>
    <t>₩21,270,620,000</t>
  </si>
  <si>
    <t>258610</t>
  </si>
  <si>
    <t>케일럼</t>
  </si>
  <si>
    <t>₩82,499,583</t>
  </si>
  <si>
    <t>₩38,894,917,116</t>
  </si>
  <si>
    <t>402030</t>
  </si>
  <si>
    <t>코난테크놀로지</t>
  </si>
  <si>
    <t>₩1,871,305,961</t>
  </si>
  <si>
    <t>₩225,621,893,600</t>
  </si>
  <si>
    <t>009440</t>
  </si>
  <si>
    <t>KC그린홀딩스</t>
  </si>
  <si>
    <t>₩508,413,295</t>
  </si>
  <si>
    <t>₩20,572,876,660</t>
  </si>
  <si>
    <t>076080</t>
  </si>
  <si>
    <t>웰크론한텍</t>
  </si>
  <si>
    <t>₩28,324,355</t>
  </si>
  <si>
    <t>₩29,462,779,424</t>
  </si>
  <si>
    <t>393210</t>
  </si>
  <si>
    <t>토마토시스템</t>
  </si>
  <si>
    <t>₩829,287,789</t>
  </si>
  <si>
    <t>₩89,002,900,800</t>
  </si>
  <si>
    <t>006260</t>
  </si>
  <si>
    <t>LS</t>
  </si>
  <si>
    <t>₩20,327,177,600</t>
  </si>
  <si>
    <t>₩3,664,360,000,000</t>
  </si>
  <si>
    <t>061040</t>
  </si>
  <si>
    <t>알에프텍</t>
  </si>
  <si>
    <t>₩134,836,808</t>
  </si>
  <si>
    <t>₩102,846,075,095</t>
  </si>
  <si>
    <t>018000</t>
  </si>
  <si>
    <t>유니슨</t>
  </si>
  <si>
    <t>₩257,949,225</t>
  </si>
  <si>
    <t>₩106,255,076,884</t>
  </si>
  <si>
    <t>340440</t>
  </si>
  <si>
    <t>세림B&amp;G</t>
  </si>
  <si>
    <t>₩231,030,518</t>
  </si>
  <si>
    <t>₩36,352,684,284</t>
  </si>
  <si>
    <t>066790</t>
  </si>
  <si>
    <t>씨씨에스</t>
  </si>
  <si>
    <t>₩3,528,561,273</t>
  </si>
  <si>
    <t>₩102,158,397,152</t>
  </si>
  <si>
    <t>002790</t>
  </si>
  <si>
    <t>아모레G</t>
  </si>
  <si>
    <t>₩4,028,857,726</t>
  </si>
  <si>
    <t>₩1,863,554,868,000</t>
  </si>
  <si>
    <t>092220</t>
  </si>
  <si>
    <t>KEC</t>
  </si>
  <si>
    <t>₩730,587,040</t>
  </si>
  <si>
    <t>₩180,686,826,900</t>
  </si>
  <si>
    <t>217500</t>
  </si>
  <si>
    <t>러셀</t>
  </si>
  <si>
    <t>₩51,534,339</t>
  </si>
  <si>
    <t>₩53,984,964,000</t>
  </si>
  <si>
    <t>032680</t>
  </si>
  <si>
    <t>소프트센</t>
  </si>
  <si>
    <t>₩126,191,398</t>
  </si>
  <si>
    <t>₩40,546,853,376</t>
  </si>
  <si>
    <t>472850</t>
  </si>
  <si>
    <t>폰드그룹</t>
  </si>
  <si>
    <t>₩2,317,063,203</t>
  </si>
  <si>
    <t>₩169,805,648,250</t>
  </si>
  <si>
    <t>191410</t>
  </si>
  <si>
    <t>육일씨엔에쓰</t>
  </si>
  <si>
    <t>₩26,668,737</t>
  </si>
  <si>
    <t>₩18,845,556,910</t>
  </si>
  <si>
    <t>057680</t>
  </si>
  <si>
    <t>티사이언티픽</t>
  </si>
  <si>
    <t>₩3,970,980,430</t>
  </si>
  <si>
    <t>₩100,032,895,404</t>
  </si>
  <si>
    <t>036890</t>
  </si>
  <si>
    <t>진성티이씨</t>
  </si>
  <si>
    <t>₩1,372,911,639</t>
  </si>
  <si>
    <t>₩215,380,127,440</t>
  </si>
  <si>
    <t>092200</t>
  </si>
  <si>
    <t>디아이씨</t>
  </si>
  <si>
    <t>₩359,905,072</t>
  </si>
  <si>
    <t>₩135,137,777,275</t>
  </si>
  <si>
    <t>432720</t>
  </si>
  <si>
    <t>퀄리타스반도체</t>
  </si>
  <si>
    <t>₩1,146,249,542</t>
  </si>
  <si>
    <t>₩119,742,891,200</t>
  </si>
  <si>
    <t>020150</t>
  </si>
  <si>
    <t>롯데에너지머티리얼즈</t>
  </si>
  <si>
    <t>₩5,241,566,250</t>
  </si>
  <si>
    <t>₩1,470,935,636,500</t>
  </si>
  <si>
    <t>095720</t>
  </si>
  <si>
    <t>웅진씽크빅</t>
  </si>
  <si>
    <t>₩1,684,879,425</t>
  </si>
  <si>
    <t>₩195,089,608,665</t>
  </si>
  <si>
    <t>396270</t>
  </si>
  <si>
    <t>넥스트칩</t>
  </si>
  <si>
    <t>₩6,333,664,126</t>
  </si>
  <si>
    <t>₩258,490,952,600</t>
  </si>
  <si>
    <t>208140</t>
  </si>
  <si>
    <t>정다운</t>
  </si>
  <si>
    <t>₩542,445,455</t>
  </si>
  <si>
    <t>₩90,862,203,880</t>
  </si>
  <si>
    <t>061250</t>
  </si>
  <si>
    <t>화일약품</t>
  </si>
  <si>
    <t>₩1,107,284,703</t>
  </si>
  <si>
    <t>₩100,325,335,860</t>
  </si>
  <si>
    <t>294140</t>
  </si>
  <si>
    <t>레몬</t>
  </si>
  <si>
    <t>₩882,806,720</t>
  </si>
  <si>
    <t>₩74,130,000,000</t>
  </si>
  <si>
    <t>006200</t>
  </si>
  <si>
    <t>한국전자홀딩스</t>
  </si>
  <si>
    <t>₩26,343,481</t>
  </si>
  <si>
    <t>₩34,634,320,640</t>
  </si>
  <si>
    <t>083640</t>
  </si>
  <si>
    <t>인콘</t>
  </si>
  <si>
    <t>₩42,679,827</t>
  </si>
  <si>
    <t>₩25,492,275,128</t>
  </si>
  <si>
    <t>004890</t>
  </si>
  <si>
    <t>동일산업</t>
  </si>
  <si>
    <t>₩25,559,043</t>
  </si>
  <si>
    <t>₩94,219,602,750</t>
  </si>
  <si>
    <t>023910</t>
  </si>
  <si>
    <t>대한약품</t>
  </si>
  <si>
    <t>₩201,138,867</t>
  </si>
  <si>
    <t>₩150,600,000,000</t>
  </si>
  <si>
    <t>028050</t>
  </si>
  <si>
    <t>삼성E&amp;A</t>
  </si>
  <si>
    <t>₩20,057,226,897</t>
  </si>
  <si>
    <t>₩3,500,560,000,000</t>
  </si>
  <si>
    <t>018250</t>
  </si>
  <si>
    <t>애경산업</t>
  </si>
  <si>
    <t>₩771,501,219</t>
  </si>
  <si>
    <t>₩408,033,495,750</t>
  </si>
  <si>
    <t>027740</t>
  </si>
  <si>
    <t>마니커</t>
  </si>
  <si>
    <t>₩891,206,804</t>
  </si>
  <si>
    <t>₩57,033,082,744</t>
  </si>
  <si>
    <t>000155</t>
  </si>
  <si>
    <t>두산우</t>
  </si>
  <si>
    <t>₩2,521,055,224</t>
  </si>
  <si>
    <t>₩430,418,957,400</t>
  </si>
  <si>
    <t>068930</t>
  </si>
  <si>
    <t>디지털대성</t>
  </si>
  <si>
    <t>₩121,108,819</t>
  </si>
  <si>
    <t>₩213,100,133,400</t>
  </si>
  <si>
    <t>047560</t>
  </si>
  <si>
    <t>이스트소프트</t>
  </si>
  <si>
    <t>₩2,495,936,131</t>
  </si>
  <si>
    <t>₩173,943,840,080</t>
  </si>
  <si>
    <t>103840</t>
  </si>
  <si>
    <t>우양</t>
  </si>
  <si>
    <t>₩478,393,050</t>
  </si>
  <si>
    <t>₩57,855,322,980</t>
  </si>
  <si>
    <t>236200</t>
  </si>
  <si>
    <t>슈프리마</t>
  </si>
  <si>
    <t>₩830,005,669</t>
  </si>
  <si>
    <t>₩167,243,597,250</t>
  </si>
  <si>
    <t>036010</t>
  </si>
  <si>
    <t>아비코전자</t>
  </si>
  <si>
    <t>₩181,563,968</t>
  </si>
  <si>
    <t>₩65,334,770,610</t>
  </si>
  <si>
    <t>016380</t>
  </si>
  <si>
    <t>KG스틸</t>
  </si>
  <si>
    <t>₩1,694,163,207</t>
  </si>
  <si>
    <t>₩660,058,720,200</t>
  </si>
  <si>
    <t>001570</t>
  </si>
  <si>
    <t>금양</t>
  </si>
  <si>
    <t>₩27,401,041,912</t>
  </si>
  <si>
    <t>₩2,211,706,409,700</t>
  </si>
  <si>
    <t>009460</t>
  </si>
  <si>
    <t>한창제지</t>
  </si>
  <si>
    <t>₩83,960,054</t>
  </si>
  <si>
    <t>₩42,721,919,976</t>
  </si>
  <si>
    <t>001515</t>
  </si>
  <si>
    <t>SK증권우</t>
  </si>
  <si>
    <t>₩16,131,238</t>
  </si>
  <si>
    <t>₩6,925,149,780</t>
  </si>
  <si>
    <t>005420</t>
  </si>
  <si>
    <t>코스모화학</t>
  </si>
  <si>
    <t>₩2,963,539,323</t>
  </si>
  <si>
    <t>₩717,081,616,760</t>
  </si>
  <si>
    <t>420570</t>
  </si>
  <si>
    <t>제이투케이바이오</t>
  </si>
  <si>
    <t>₩1,079,688,175</t>
  </si>
  <si>
    <t>₩62,716,908,580</t>
  </si>
  <si>
    <t>068790</t>
  </si>
  <si>
    <t>DMS</t>
  </si>
  <si>
    <t>₩174,859,624</t>
  </si>
  <si>
    <t>₩126,551,264,150</t>
  </si>
  <si>
    <t>479880</t>
  </si>
  <si>
    <t>한국제15호스팩</t>
  </si>
  <si>
    <t>₩37,705,664</t>
  </si>
  <si>
    <t>₩14,014,800,000</t>
  </si>
  <si>
    <t>051360</t>
  </si>
  <si>
    <t>토비스</t>
  </si>
  <si>
    <t>₩2,755,132,351</t>
  </si>
  <si>
    <t>₩291,330,385,160</t>
  </si>
  <si>
    <t>317830</t>
  </si>
  <si>
    <t>에스피시스템스</t>
  </si>
  <si>
    <t>₩201,002,410</t>
  </si>
  <si>
    <t>₩53,168,791,830</t>
  </si>
  <si>
    <t>036630</t>
  </si>
  <si>
    <t>세종텔레콤</t>
  </si>
  <si>
    <t>₩51,690,285</t>
  </si>
  <si>
    <t>₩95,200,000,000</t>
  </si>
  <si>
    <t>443060</t>
  </si>
  <si>
    <t>HD현대마린솔루션</t>
  </si>
  <si>
    <t>₩32,754,126,748</t>
  </si>
  <si>
    <t>₩6,671,945,000,000</t>
  </si>
  <si>
    <t>248070</t>
  </si>
  <si>
    <t>솔루엠</t>
  </si>
  <si>
    <t>₩3,650,177,146</t>
  </si>
  <si>
    <t>₩926,102,804,520</t>
  </si>
  <si>
    <t>099430</t>
  </si>
  <si>
    <t>바이오플러스</t>
  </si>
  <si>
    <t>₩1,550,669,081</t>
  </si>
  <si>
    <t>₩323,833,529,760</t>
  </si>
  <si>
    <t>004310</t>
  </si>
  <si>
    <t>현대약품</t>
  </si>
  <si>
    <t>₩3,235,131,686</t>
  </si>
  <si>
    <t>₩115,520,000,000</t>
  </si>
  <si>
    <t>033240</t>
  </si>
  <si>
    <t>자화전자</t>
  </si>
  <si>
    <t>₩1,228,526,379</t>
  </si>
  <si>
    <t>₩331,008,697,800</t>
  </si>
  <si>
    <t>321370</t>
  </si>
  <si>
    <t>센서뷰</t>
  </si>
  <si>
    <t>₩441,597,377</t>
  </si>
  <si>
    <t>₩52,397,708,805</t>
  </si>
  <si>
    <t>006840</t>
  </si>
  <si>
    <t>AK홀딩스</t>
  </si>
  <si>
    <t>₩43,463,558</t>
  </si>
  <si>
    <t>₩157,248,549,070</t>
  </si>
  <si>
    <t>091440</t>
  </si>
  <si>
    <t>한울소재과학</t>
  </si>
  <si>
    <t>₩577,045,613</t>
  </si>
  <si>
    <t>₩83,258,024,700</t>
  </si>
  <si>
    <t>347000</t>
  </si>
  <si>
    <t>센코</t>
  </si>
  <si>
    <t>₩172,907,759</t>
  </si>
  <si>
    <t>₩76,736,569,200</t>
  </si>
  <si>
    <t>051900</t>
  </si>
  <si>
    <t>LG생활건강</t>
  </si>
  <si>
    <t>₩17,874,193,262</t>
  </si>
  <si>
    <t>₩5,419,514,359,000</t>
  </si>
  <si>
    <t>001470</t>
  </si>
  <si>
    <t>삼부토건</t>
  </si>
  <si>
    <t>₩20,434,829,439</t>
  </si>
  <si>
    <t>₩284,881,463,776</t>
  </si>
  <si>
    <t>210980</t>
  </si>
  <si>
    <t>SK디앤디</t>
  </si>
  <si>
    <t>₩439,257,245</t>
  </si>
  <si>
    <t>₩139,816,538,820</t>
  </si>
  <si>
    <t>018500</t>
  </si>
  <si>
    <t>동원금속</t>
  </si>
  <si>
    <t>₩110,790,608</t>
  </si>
  <si>
    <t>₩57,648,832,389</t>
  </si>
  <si>
    <t>383310</t>
  </si>
  <si>
    <t>에코프로에이치엔</t>
  </si>
  <si>
    <t>₩3,890,594,157</t>
  </si>
  <si>
    <t>₩645,868,130,400</t>
  </si>
  <si>
    <t>315640</t>
  </si>
  <si>
    <t>딥노이드</t>
  </si>
  <si>
    <t>₩1,785,295,089</t>
  </si>
  <si>
    <t>₩123,316,974,000</t>
  </si>
  <si>
    <t>318000</t>
  </si>
  <si>
    <t>KBG</t>
  </si>
  <si>
    <t>₩181,470,670</t>
  </si>
  <si>
    <t>₩45,449,159,600</t>
  </si>
  <si>
    <t>006805</t>
  </si>
  <si>
    <t>미래에셋증권우</t>
  </si>
  <si>
    <t>₩53,208,106</t>
  </si>
  <si>
    <t>₩60,244,210,000</t>
  </si>
  <si>
    <t>174900</t>
  </si>
  <si>
    <t>앱클론</t>
  </si>
  <si>
    <t>₩3,611,640,176</t>
  </si>
  <si>
    <t>₩264,687,436,090</t>
  </si>
  <si>
    <t>078860</t>
  </si>
  <si>
    <t>엔에스이엔엠</t>
  </si>
  <si>
    <t>₩330,025,581</t>
  </si>
  <si>
    <t>₩90,567,064,400</t>
  </si>
  <si>
    <t>148930</t>
  </si>
  <si>
    <t>에이치와이티씨</t>
  </si>
  <si>
    <t>₩83,624,195</t>
  </si>
  <si>
    <t>₩44,313,052,615</t>
  </si>
  <si>
    <t>351320</t>
  </si>
  <si>
    <t>에스에이티이엔지</t>
  </si>
  <si>
    <t>₩12,661,979</t>
  </si>
  <si>
    <t>₩30,139,747,934</t>
  </si>
  <si>
    <t>900250</t>
  </si>
  <si>
    <t>크리스탈신소재</t>
  </si>
  <si>
    <t>₩649,257,245</t>
  </si>
  <si>
    <t>₩121,495,203,720</t>
  </si>
  <si>
    <t>015710</t>
  </si>
  <si>
    <t>코콤</t>
  </si>
  <si>
    <t>₩19,191,417,746</t>
  </si>
  <si>
    <t>₩73,891,057,500</t>
  </si>
  <si>
    <t>080160</t>
  </si>
  <si>
    <t>모두투어</t>
  </si>
  <si>
    <t>₩2,469,420,788</t>
  </si>
  <si>
    <t>₩187,110,000,000</t>
  </si>
  <si>
    <t>312610</t>
  </si>
  <si>
    <t>에이에프더블류</t>
  </si>
  <si>
    <t>₩15,497,451</t>
  </si>
  <si>
    <t>₩32,005,883,040</t>
  </si>
  <si>
    <t>198440</t>
  </si>
  <si>
    <t>강동씨앤엘</t>
  </si>
  <si>
    <t>₩90,970,105</t>
  </si>
  <si>
    <t>₩82,867,378,560</t>
  </si>
  <si>
    <t>020120</t>
  </si>
  <si>
    <t>키다리스튜디오</t>
  </si>
  <si>
    <t>₩3,614,666,764</t>
  </si>
  <si>
    <t>₩143,992,730,910</t>
  </si>
  <si>
    <t>038680</t>
  </si>
  <si>
    <t>에스넷</t>
  </si>
  <si>
    <t>₩56,119,212</t>
  </si>
  <si>
    <t>₩72,822,546,825</t>
  </si>
  <si>
    <t>086390</t>
  </si>
  <si>
    <t>유니테스트</t>
  </si>
  <si>
    <t>₩5,350,084,904</t>
  </si>
  <si>
    <t>₩225,501,124,420</t>
  </si>
  <si>
    <t>094860</t>
  </si>
  <si>
    <t>네오리진</t>
  </si>
  <si>
    <t>₩143,604,629</t>
  </si>
  <si>
    <t>₩27,177,452,630</t>
  </si>
  <si>
    <t>068330</t>
  </si>
  <si>
    <t>일신바이오</t>
  </si>
  <si>
    <t>₩90,690,635</t>
  </si>
  <si>
    <t>₩51,202,290,120</t>
  </si>
  <si>
    <t>280360</t>
  </si>
  <si>
    <t>롯데웰푸드</t>
  </si>
  <si>
    <t>₩1,502,954,395</t>
  </si>
  <si>
    <t>₩1,079,315,265,600</t>
  </si>
  <si>
    <t>288620</t>
  </si>
  <si>
    <t>에스퓨얼셀</t>
  </si>
  <si>
    <t>₩197,886,489</t>
  </si>
  <si>
    <t>₩69,095,228,400</t>
  </si>
  <si>
    <t>053060</t>
  </si>
  <si>
    <t>세동</t>
  </si>
  <si>
    <t>₩66,372,750</t>
  </si>
  <si>
    <t>₩19,970,540,889</t>
  </si>
  <si>
    <t>004870</t>
  </si>
  <si>
    <t>티웨이홀딩스</t>
  </si>
  <si>
    <t>₩17,880,402,745</t>
  </si>
  <si>
    <t>₩79,930,226,817</t>
  </si>
  <si>
    <t>107600</t>
  </si>
  <si>
    <t>새빗켐</t>
  </si>
  <si>
    <t>₩338,608,240</t>
  </si>
  <si>
    <t>₩99,879,977,250</t>
  </si>
  <si>
    <t>217820</t>
  </si>
  <si>
    <t>원익피앤이</t>
  </si>
  <si>
    <t>₩310,737,622</t>
  </si>
  <si>
    <t>₩131,211,855,635</t>
  </si>
  <si>
    <t>041510</t>
  </si>
  <si>
    <t>에스엠</t>
  </si>
  <si>
    <t>₩9,861,033,133</t>
  </si>
  <si>
    <t>₩1,742,180,574,200</t>
  </si>
  <si>
    <t>005930</t>
  </si>
  <si>
    <t>삼성전자</t>
  </si>
  <si>
    <t>₩1,338,614,388,486</t>
  </si>
  <si>
    <t>₩328,338,040,250,000</t>
  </si>
  <si>
    <t>197140</t>
  </si>
  <si>
    <t>디지캡</t>
  </si>
  <si>
    <t>₩37,086,442</t>
  </si>
  <si>
    <t>₩31,882,227,300</t>
  </si>
  <si>
    <t>042520</t>
  </si>
  <si>
    <t>한스바이오메드</t>
  </si>
  <si>
    <t>₩183,836,651</t>
  </si>
  <si>
    <t>₩105,505,662,600</t>
  </si>
  <si>
    <t>001210</t>
  </si>
  <si>
    <t>금호전기</t>
  </si>
  <si>
    <t>₩149,098,248</t>
  </si>
  <si>
    <t>₩31,955,219,948</t>
  </si>
  <si>
    <t>090410</t>
  </si>
  <si>
    <t>덕신이피씨</t>
  </si>
  <si>
    <t>₩212,393,580</t>
  </si>
  <si>
    <t>₩71,891,188,200</t>
  </si>
  <si>
    <t>406820</t>
  </si>
  <si>
    <t>뷰티스킨</t>
  </si>
  <si>
    <t>₩741,463,142</t>
  </si>
  <si>
    <t>₩46,472,626,000</t>
  </si>
  <si>
    <t>089030</t>
  </si>
  <si>
    <t>테크윙</t>
  </si>
  <si>
    <t>₩40,364,149,983</t>
  </si>
  <si>
    <t>₩1,544,573,220,750</t>
  </si>
  <si>
    <t>288980</t>
  </si>
  <si>
    <t>모아데이타</t>
  </si>
  <si>
    <t>₩1,653,952,482</t>
  </si>
  <si>
    <t>₩56,534,535,432</t>
  </si>
  <si>
    <t>267850</t>
  </si>
  <si>
    <t>아시아나IDT</t>
  </si>
  <si>
    <t>₩457,490,746</t>
  </si>
  <si>
    <t>₩196,581,000,000</t>
  </si>
  <si>
    <t>023810</t>
  </si>
  <si>
    <t>인팩</t>
  </si>
  <si>
    <t>₩66,956,308</t>
  </si>
  <si>
    <t>₩69,500,000,000</t>
  </si>
  <si>
    <t>424960</t>
  </si>
  <si>
    <t>스마트레이더시스템</t>
  </si>
  <si>
    <t>₩3,950,811,390</t>
  </si>
  <si>
    <t>₩181,317,317,400</t>
  </si>
  <si>
    <t>310210</t>
  </si>
  <si>
    <t>보로노이</t>
  </si>
  <si>
    <t>₩26,679,259,448</t>
  </si>
  <si>
    <t>₩2,270,710,430,400</t>
  </si>
  <si>
    <t>089590</t>
  </si>
  <si>
    <t>제주항공</t>
  </si>
  <si>
    <t>₩2,153,806,084</t>
  </si>
  <si>
    <t>₩743,509,881,700</t>
  </si>
  <si>
    <t>039440</t>
  </si>
  <si>
    <t>에스티아이</t>
  </si>
  <si>
    <t>₩5,740,168,028</t>
  </si>
  <si>
    <t>₩280,191,000,000</t>
  </si>
  <si>
    <t>153710</t>
  </si>
  <si>
    <t>옵티팜</t>
  </si>
  <si>
    <t>₩42,454,822</t>
  </si>
  <si>
    <t>₩72,542,942,310</t>
  </si>
  <si>
    <t>219420</t>
  </si>
  <si>
    <t>링크제니시스</t>
  </si>
  <si>
    <t>₩450,479,878</t>
  </si>
  <si>
    <t>₩52,358,299,455</t>
  </si>
  <si>
    <t>097230</t>
  </si>
  <si>
    <t>HJ중공업</t>
  </si>
  <si>
    <t>₩500,348,555</t>
  </si>
  <si>
    <t>₩244,410,014,735</t>
  </si>
  <si>
    <t>275630</t>
  </si>
  <si>
    <t>에스에스알</t>
  </si>
  <si>
    <t>₩17,755,888</t>
  </si>
  <si>
    <t>₩20,250,532,985</t>
  </si>
  <si>
    <t>058400</t>
  </si>
  <si>
    <t>KNN</t>
  </si>
  <si>
    <t>₩117,474,575</t>
  </si>
  <si>
    <t>₩103,295,181,600</t>
  </si>
  <si>
    <t>002960</t>
  </si>
  <si>
    <t>한국쉘석유</t>
  </si>
  <si>
    <t>₩717,955,833</t>
  </si>
  <si>
    <t>₩453,050,000,000</t>
  </si>
  <si>
    <t>012330</t>
  </si>
  <si>
    <t>현대모비스</t>
  </si>
  <si>
    <t>₩62,390,998,833</t>
  </si>
  <si>
    <t>₩23,667,251,423,000</t>
  </si>
  <si>
    <t>285800</t>
  </si>
  <si>
    <t>진영</t>
  </si>
  <si>
    <t>₩181,868,632</t>
  </si>
  <si>
    <t>₩43,605,788,650</t>
  </si>
  <si>
    <t>114090</t>
  </si>
  <si>
    <t>GKL</t>
  </si>
  <si>
    <t>₩1,244,146,355</t>
  </si>
  <si>
    <t>₩671,752,576,200</t>
  </si>
  <si>
    <t>117730</t>
  </si>
  <si>
    <t>티로보틱스</t>
  </si>
  <si>
    <t>₩977,393,474</t>
  </si>
  <si>
    <t>₩144,301,815,400</t>
  </si>
  <si>
    <t>262260</t>
  </si>
  <si>
    <t>에이프로</t>
  </si>
  <si>
    <t>₩221,237,397</t>
  </si>
  <si>
    <t>₩96,936,618,400</t>
  </si>
  <si>
    <t>026940</t>
  </si>
  <si>
    <t>부국철강</t>
  </si>
  <si>
    <t>₩65,393,103</t>
  </si>
  <si>
    <t>₩50,100,000,000</t>
  </si>
  <si>
    <t>060720</t>
  </si>
  <si>
    <t>KH바텍</t>
  </si>
  <si>
    <t>₩746,604,674</t>
  </si>
  <si>
    <t>₩208,124,715,180</t>
  </si>
  <si>
    <t>128540</t>
  </si>
  <si>
    <t>에코캡</t>
  </si>
  <si>
    <t>₩98,654,370</t>
  </si>
  <si>
    <t>₩32,162,004,300</t>
  </si>
  <si>
    <t>301300</t>
  </si>
  <si>
    <t>바이브컴퍼니</t>
  </si>
  <si>
    <t>₩94,161,122</t>
  </si>
  <si>
    <t>₩49,269,572,475</t>
  </si>
  <si>
    <t>365330</t>
  </si>
  <si>
    <t>에스와이스틸텍</t>
  </si>
  <si>
    <t>₩74,634,065,689</t>
  </si>
  <si>
    <t>₩189,782,000,000</t>
  </si>
  <si>
    <t>019685</t>
  </si>
  <si>
    <t>대교우B</t>
  </si>
  <si>
    <t>₩69,474,664</t>
  </si>
  <si>
    <t>₩25,255,087,000</t>
  </si>
  <si>
    <t>003620</t>
  </si>
  <si>
    <t>KG모빌리티</t>
  </si>
  <si>
    <t>₩1,524,402,293</t>
  </si>
  <si>
    <t>₩817,041,696,640</t>
  </si>
  <si>
    <t>016590</t>
  </si>
  <si>
    <t>신대양제지</t>
  </si>
  <si>
    <t>₩179,751,547</t>
  </si>
  <si>
    <t>₩240,980,963,600</t>
  </si>
  <si>
    <t>317330</t>
  </si>
  <si>
    <t>덕산테코피아</t>
  </si>
  <si>
    <t>₩8,926,338,874</t>
  </si>
  <si>
    <t>₩765,824,241,600</t>
  </si>
  <si>
    <t>126730</t>
  </si>
  <si>
    <t>코칩</t>
  </si>
  <si>
    <t>₩1,298,229,057</t>
  </si>
  <si>
    <t>₩93,538,060,000</t>
  </si>
  <si>
    <t>061970</t>
  </si>
  <si>
    <t>LB세미콘</t>
  </si>
  <si>
    <t>₩2,787,165,506</t>
  </si>
  <si>
    <t>₩166,819,295,520</t>
  </si>
  <si>
    <t>023790</t>
  </si>
  <si>
    <t>동일철강</t>
  </si>
  <si>
    <t>₩10,370,660</t>
  </si>
  <si>
    <t>₩25,593,159,380</t>
  </si>
  <si>
    <t>090470</t>
  </si>
  <si>
    <t>제이스텍</t>
  </si>
  <si>
    <t>₩1,155,527,175</t>
  </si>
  <si>
    <t>₩108,005,350,920</t>
  </si>
  <si>
    <t>311390</t>
  </si>
  <si>
    <t>네오크레마</t>
  </si>
  <si>
    <t>₩198,716,648</t>
  </si>
  <si>
    <t>₩80,477,147,510</t>
  </si>
  <si>
    <t>00499K</t>
  </si>
  <si>
    <t>롯데지주우</t>
  </si>
  <si>
    <t>₩17,781,636</t>
  </si>
  <si>
    <t>₩23,966,689,250</t>
  </si>
  <si>
    <t>389500</t>
  </si>
  <si>
    <t>에스비비테크</t>
  </si>
  <si>
    <t>₩784,976,185</t>
  </si>
  <si>
    <t>₩98,674,965,920</t>
  </si>
  <si>
    <t>013580</t>
  </si>
  <si>
    <t>계룡건설</t>
  </si>
  <si>
    <t>₩324,381,603</t>
  </si>
  <si>
    <t>₩116,191,100,070</t>
  </si>
  <si>
    <t>123040</t>
  </si>
  <si>
    <t>엠에스오토텍</t>
  </si>
  <si>
    <t>₩342,118,590</t>
  </si>
  <si>
    <t>₩196,103,223,855</t>
  </si>
  <si>
    <t>090435</t>
  </si>
  <si>
    <t>아모레퍼시픽우</t>
  </si>
  <si>
    <t>₩669,954,962</t>
  </si>
  <si>
    <t>₩358,966,220,000</t>
  </si>
  <si>
    <t>456040</t>
  </si>
  <si>
    <t>OCI</t>
  </si>
  <si>
    <t>₩1,220,445,376</t>
  </si>
  <si>
    <t>₩545,206,945,500</t>
  </si>
  <si>
    <t>439580</t>
  </si>
  <si>
    <t>블루엠텍</t>
  </si>
  <si>
    <t>₩63,503,225,131</t>
  </si>
  <si>
    <t>₩192,127,801,200</t>
  </si>
  <si>
    <t>440110</t>
  </si>
  <si>
    <t>파두</t>
  </si>
  <si>
    <t>₩11,729,526,460</t>
  </si>
  <si>
    <t>₩918,351,317,560</t>
  </si>
  <si>
    <t>032500</t>
  </si>
  <si>
    <t>케이엠더블유</t>
  </si>
  <si>
    <t>₩1,404,737,209</t>
  </si>
  <si>
    <t>₩360,378,991,150</t>
  </si>
  <si>
    <t>159910</t>
  </si>
  <si>
    <t>스킨앤스킨</t>
  </si>
  <si>
    <t>₩63,859,062</t>
  </si>
  <si>
    <t>₩25,705,529,188</t>
  </si>
  <si>
    <t>418620</t>
  </si>
  <si>
    <t>이에이트</t>
  </si>
  <si>
    <t>₩725,521,382</t>
  </si>
  <si>
    <t>₩100,075,446,490</t>
  </si>
  <si>
    <t>246250</t>
  </si>
  <si>
    <t>에스엘에스바이오</t>
  </si>
  <si>
    <t>₩2,242,638,910</t>
  </si>
  <si>
    <t>₩37,910,068,820</t>
  </si>
  <si>
    <t>217730</t>
  </si>
  <si>
    <t>강스템바이오텍</t>
  </si>
  <si>
    <t>₩1,124,110,280</t>
  </si>
  <si>
    <t>₩106,502,883,100</t>
  </si>
  <si>
    <t>042940</t>
  </si>
  <si>
    <t>상지건설</t>
  </si>
  <si>
    <t>₩115,824,690</t>
  </si>
  <si>
    <t>₩22,616,703,520</t>
  </si>
  <si>
    <t>052260</t>
  </si>
  <si>
    <t>현대바이오랜드</t>
  </si>
  <si>
    <t>₩1,172,049,289</t>
  </si>
  <si>
    <t>₩139,500,000,000</t>
  </si>
  <si>
    <t>408900</t>
  </si>
  <si>
    <t>스튜디오미르</t>
  </si>
  <si>
    <t>₩14,296,573,855</t>
  </si>
  <si>
    <t>₩106,294,935,500</t>
  </si>
  <si>
    <t>226950</t>
  </si>
  <si>
    <t>올릭스</t>
  </si>
  <si>
    <t>₩19,804,733,952</t>
  </si>
  <si>
    <t>₩378,378,994,850</t>
  </si>
  <si>
    <t>017040</t>
  </si>
  <si>
    <t>광명전기</t>
  </si>
  <si>
    <t>₩611,383,681</t>
  </si>
  <si>
    <t>₩67,389,991,325</t>
  </si>
  <si>
    <t>011000</t>
  </si>
  <si>
    <t>진원생명과학</t>
  </si>
  <si>
    <t>₩1,643,857,332</t>
  </si>
  <si>
    <t>₩180,087,828,750</t>
  </si>
  <si>
    <t>289010</t>
  </si>
  <si>
    <t>아이스크림에듀</t>
  </si>
  <si>
    <t>₩61,943,480</t>
  </si>
  <si>
    <t>₩31,902,811,760</t>
  </si>
  <si>
    <t>033790</t>
  </si>
  <si>
    <t>피노</t>
  </si>
  <si>
    <t>₩1,698,663,473</t>
  </si>
  <si>
    <t>₩156,564,408,000</t>
  </si>
  <si>
    <t>230240</t>
  </si>
  <si>
    <t>에치에프알</t>
  </si>
  <si>
    <t>₩467,353,872</t>
  </si>
  <si>
    <t>₩117,385,380,000</t>
  </si>
  <si>
    <t>016710</t>
  </si>
  <si>
    <t>대성홀딩스</t>
  </si>
  <si>
    <t>₩82,853,704</t>
  </si>
  <si>
    <t>₩120,831,837,090</t>
  </si>
  <si>
    <t>005880</t>
  </si>
  <si>
    <t>대한해운</t>
  </si>
  <si>
    <t>₩2,061,731,676</t>
  </si>
  <si>
    <t>₩571,111,291,100</t>
  </si>
  <si>
    <t>241840</t>
  </si>
  <si>
    <t>에이스토리</t>
  </si>
  <si>
    <t>₩118,670,437</t>
  </si>
  <si>
    <t>₩66,112,158,420</t>
  </si>
  <si>
    <t>003160</t>
  </si>
  <si>
    <t>디아이</t>
  </si>
  <si>
    <t>₩23,447,804,291</t>
  </si>
  <si>
    <t>₩429,594,000,000</t>
  </si>
  <si>
    <t>417200</t>
  </si>
  <si>
    <t>LS머트리얼즈</t>
  </si>
  <si>
    <t>₩3,564,700,380</t>
  </si>
  <si>
    <t>₩936,312,800,560</t>
  </si>
  <si>
    <t>003545</t>
  </si>
  <si>
    <t>대신증권우</t>
  </si>
  <si>
    <t>₩655,815,778</t>
  </si>
  <si>
    <t>₩394,420,000,000</t>
  </si>
  <si>
    <t>298830</t>
  </si>
  <si>
    <t>슈어소프트테크</t>
  </si>
  <si>
    <t>₩7,278,331,867</t>
  </si>
  <si>
    <t>₩266,778,639,270</t>
  </si>
  <si>
    <t>018470</t>
  </si>
  <si>
    <t>조일알미늄</t>
  </si>
  <si>
    <t>₩655,143,359</t>
  </si>
  <si>
    <t>₩199,824,855,738</t>
  </si>
  <si>
    <t>003720</t>
  </si>
  <si>
    <t>삼영</t>
  </si>
  <si>
    <t>₩1,328,781,131</t>
  </si>
  <si>
    <t>₩136,000,000,000</t>
  </si>
  <si>
    <t>069920</t>
  </si>
  <si>
    <t>엑시온그룹</t>
  </si>
  <si>
    <t>₩67,065,559</t>
  </si>
  <si>
    <t>₩39,558,186,384</t>
  </si>
  <si>
    <t>290660</t>
  </si>
  <si>
    <t>네오펙트</t>
  </si>
  <si>
    <t>₩38,808,782</t>
  </si>
  <si>
    <t>₩39,077,314,164</t>
  </si>
  <si>
    <t>357580</t>
  </si>
  <si>
    <t>아모센스</t>
  </si>
  <si>
    <t>₩80,889,229</t>
  </si>
  <si>
    <t>₩75,175,768,800</t>
  </si>
  <si>
    <t>006660</t>
  </si>
  <si>
    <t>삼성공조</t>
  </si>
  <si>
    <t>₩565,927,888</t>
  </si>
  <si>
    <t>₩81,506,929,420</t>
  </si>
  <si>
    <t>131180</t>
  </si>
  <si>
    <t>딜리</t>
  </si>
  <si>
    <t>₩33,060,260</t>
  </si>
  <si>
    <t>₩30,465,300,000</t>
  </si>
  <si>
    <t>377030</t>
  </si>
  <si>
    <t>맥스트</t>
  </si>
  <si>
    <t>₩2,754,279,670</t>
  </si>
  <si>
    <t>₩39,435,327,230</t>
  </si>
  <si>
    <t>090150</t>
  </si>
  <si>
    <t>아이윈</t>
  </si>
  <si>
    <t>₩91,313,289</t>
  </si>
  <si>
    <t>₩36,850,257,840</t>
  </si>
  <si>
    <t>005389</t>
  </si>
  <si>
    <t>현대차3우B</t>
  </si>
  <si>
    <t>₩2,151,906,671</t>
  </si>
  <si>
    <t>₩374,199,508,800</t>
  </si>
  <si>
    <t>298040</t>
  </si>
  <si>
    <t>효성중공업</t>
  </si>
  <si>
    <t>₩35,018,469,333</t>
  </si>
  <si>
    <t>₩4,597,002,164,000</t>
  </si>
  <si>
    <t>321820</t>
  </si>
  <si>
    <t>아티스트유나이티드</t>
  </si>
  <si>
    <t>₩6,168,121,116</t>
  </si>
  <si>
    <t>₩219,483,020,200</t>
  </si>
  <si>
    <t>405920</t>
  </si>
  <si>
    <t>나라셀라</t>
  </si>
  <si>
    <t>₩45,560,874</t>
  </si>
  <si>
    <t>₩44,236,191,060</t>
  </si>
  <si>
    <t>310200</t>
  </si>
  <si>
    <t>애니플러스</t>
  </si>
  <si>
    <t>₩309,245,054</t>
  </si>
  <si>
    <t>₩125,637,902,040</t>
  </si>
  <si>
    <t>083500</t>
  </si>
  <si>
    <t>에프엔에스테크</t>
  </si>
  <si>
    <t>₩214,477,680</t>
  </si>
  <si>
    <t>₩69,549,105,420</t>
  </si>
  <si>
    <t>333430</t>
  </si>
  <si>
    <t>일승</t>
  </si>
  <si>
    <t>₩3,255,072,237</t>
  </si>
  <si>
    <t>₩106,160,910,885</t>
  </si>
  <si>
    <t>412350</t>
  </si>
  <si>
    <t>레이저쎌</t>
  </si>
  <si>
    <t>₩334,824,005</t>
  </si>
  <si>
    <t>₩39,751,357,460</t>
  </si>
  <si>
    <t>066430</t>
  </si>
  <si>
    <t>와이오엠</t>
  </si>
  <si>
    <t>₩45,290,227</t>
  </si>
  <si>
    <t>₩22,004,253,512</t>
  </si>
  <si>
    <t>060150</t>
  </si>
  <si>
    <t>인선이엔티</t>
  </si>
  <si>
    <t>₩260,987,868</t>
  </si>
  <si>
    <t>₩243,993,326,880</t>
  </si>
  <si>
    <t>429270</t>
  </si>
  <si>
    <t>시지트로닉스</t>
  </si>
  <si>
    <t>₩99,374,161</t>
  </si>
  <si>
    <t>₩27,127,625,000</t>
  </si>
  <si>
    <t>023440</t>
  </si>
  <si>
    <t>제이스코홀딩스</t>
  </si>
  <si>
    <t>₩925,220,910</t>
  </si>
  <si>
    <t>₩119,722,520,400</t>
  </si>
  <si>
    <t>336570</t>
  </si>
  <si>
    <t>원텍</t>
  </si>
  <si>
    <t>₩2,806,156,635</t>
  </si>
  <si>
    <t>₩476,185,499,270</t>
  </si>
  <si>
    <t>282330</t>
  </si>
  <si>
    <t>BGF리테일</t>
  </si>
  <si>
    <t>₩2,610,017,110</t>
  </si>
  <si>
    <t>₩1,861,476,676,200</t>
  </si>
  <si>
    <t>340930</t>
  </si>
  <si>
    <t>유일에너테크</t>
  </si>
  <si>
    <t>₩240,418,924</t>
  </si>
  <si>
    <t>₩85,853,169,500</t>
  </si>
  <si>
    <t>091580</t>
  </si>
  <si>
    <t>상신이디피</t>
  </si>
  <si>
    <t>₩507,296,641</t>
  </si>
  <si>
    <t>₩118,571,173,770</t>
  </si>
  <si>
    <t>073490</t>
  </si>
  <si>
    <t>이노와이어리스</t>
  </si>
  <si>
    <t>₩599,257,416</t>
  </si>
  <si>
    <t>₩135,956,766,480</t>
  </si>
  <si>
    <t>189330</t>
  </si>
  <si>
    <t>씨이랩</t>
  </si>
  <si>
    <t>₩1,469,269,669</t>
  </si>
  <si>
    <t>₩41,061,994,160</t>
  </si>
  <si>
    <t>006650</t>
  </si>
  <si>
    <t>대한유화</t>
  </si>
  <si>
    <t>₩2,487,629,867</t>
  </si>
  <si>
    <t>₩603,850,000,000</t>
  </si>
  <si>
    <t>297090</t>
  </si>
  <si>
    <t>씨에스베어링</t>
  </si>
  <si>
    <t>₩921,865,904</t>
  </si>
  <si>
    <t>₩123,805,800,000</t>
  </si>
  <si>
    <t>082850</t>
  </si>
  <si>
    <t>우리바이오</t>
  </si>
  <si>
    <t>₩34,554,420,075</t>
  </si>
  <si>
    <t>₩138,343,530,190</t>
  </si>
  <si>
    <t>306620</t>
  </si>
  <si>
    <t>네온테크</t>
  </si>
  <si>
    <t>₩6,705,826,634</t>
  </si>
  <si>
    <t>₩97,572,661,210</t>
  </si>
  <si>
    <t>069620</t>
  </si>
  <si>
    <t>대웅제약</t>
  </si>
  <si>
    <t>₩6,040,800,486</t>
  </si>
  <si>
    <t>₩1,687,005,320,000</t>
  </si>
  <si>
    <t>149950</t>
  </si>
  <si>
    <t>아바텍</t>
  </si>
  <si>
    <t>₩206,491,262</t>
  </si>
  <si>
    <t>₩156,075,000,000</t>
  </si>
  <si>
    <t>041930</t>
  </si>
  <si>
    <t>동아화성</t>
  </si>
  <si>
    <t>₩179,899,009</t>
  </si>
  <si>
    <t>₩101,278,000,000</t>
  </si>
  <si>
    <t>079000</t>
  </si>
  <si>
    <t>와토스코리아</t>
  </si>
  <si>
    <t>₩185,281,663</t>
  </si>
  <si>
    <t>₩39,816,000,000</t>
  </si>
  <si>
    <t>141000</t>
  </si>
  <si>
    <t>비아트론</t>
  </si>
  <si>
    <t>₩192,595,036</t>
  </si>
  <si>
    <t>₩80,441,674,400</t>
  </si>
  <si>
    <t>337930</t>
  </si>
  <si>
    <t>브랜드엑스코퍼레이션</t>
  </si>
  <si>
    <t>₩4,993,080,614</t>
  </si>
  <si>
    <t>₩211,336,253,870</t>
  </si>
  <si>
    <t>089140</t>
  </si>
  <si>
    <t>넥스턴바이오</t>
  </si>
  <si>
    <t>₩10,723,811,743</t>
  </si>
  <si>
    <t>₩44,543,426,560</t>
  </si>
  <si>
    <t>011320</t>
  </si>
  <si>
    <t>유니크</t>
  </si>
  <si>
    <t>₩110,593,936</t>
  </si>
  <si>
    <t>₩75,833,727,875</t>
  </si>
  <si>
    <t>208710</t>
  </si>
  <si>
    <t>바이오로그디바이스</t>
  </si>
  <si>
    <t>₩36,944,022</t>
  </si>
  <si>
    <t>₩29,457,596,808</t>
  </si>
  <si>
    <t>900310</t>
  </si>
  <si>
    <t>컬러레이</t>
  </si>
  <si>
    <t>₩159,960,233</t>
  </si>
  <si>
    <t>₩39,513,713,475</t>
  </si>
  <si>
    <t>338100</t>
  </si>
  <si>
    <t>NH프라임리츠</t>
  </si>
  <si>
    <t>₩163,157,160</t>
  </si>
  <si>
    <t>₩86,022,600,000</t>
  </si>
  <si>
    <t>351330</t>
  </si>
  <si>
    <t>이삭엔지니어링</t>
  </si>
  <si>
    <t>₩208,979,876</t>
  </si>
  <si>
    <t>₩64,236,030,000</t>
  </si>
  <si>
    <t>220260</t>
  </si>
  <si>
    <t>켐트로스</t>
  </si>
  <si>
    <t>₩243,192,739</t>
  </si>
  <si>
    <t>₩110,880,931,725</t>
  </si>
  <si>
    <t>267790</t>
  </si>
  <si>
    <t>배럴</t>
  </si>
  <si>
    <t>₩28,337,216</t>
  </si>
  <si>
    <t>₩35,932,117,500</t>
  </si>
  <si>
    <t>900270</t>
  </si>
  <si>
    <t>헝셩그룹</t>
  </si>
  <si>
    <t>₩5,399,446,893</t>
  </si>
  <si>
    <t>₩45,989,265,472</t>
  </si>
  <si>
    <t>053350</t>
  </si>
  <si>
    <t>이니텍</t>
  </si>
  <si>
    <t>₩79,389,094</t>
  </si>
  <si>
    <t>₩79,163,664,000</t>
  </si>
  <si>
    <t>009540</t>
  </si>
  <si>
    <t>HD한국조선해양</t>
  </si>
  <si>
    <t>₩51,965,344,838</t>
  </si>
  <si>
    <t>₩13,722,907,192,400</t>
  </si>
  <si>
    <t>363280</t>
  </si>
  <si>
    <t>티와이홀딩스</t>
  </si>
  <si>
    <t>₩1,577,081,393</t>
  </si>
  <si>
    <t>₩163,895,121,000</t>
  </si>
  <si>
    <t>092780</t>
  </si>
  <si>
    <t>동양피스톤</t>
  </si>
  <si>
    <t>₩214,025,431</t>
  </si>
  <si>
    <t>₩67,159,146,000</t>
  </si>
  <si>
    <t>145170</t>
  </si>
  <si>
    <t>노브랜드</t>
  </si>
  <si>
    <t>₩613,352,206</t>
  </si>
  <si>
    <t>₩111,681,958,200</t>
  </si>
  <si>
    <t>452190</t>
  </si>
  <si>
    <t>한빛레이저</t>
  </si>
  <si>
    <t>₩5,524,843,306</t>
  </si>
  <si>
    <t>₩88,134,290,385</t>
  </si>
  <si>
    <t>016360</t>
  </si>
  <si>
    <t>삼성증권</t>
  </si>
  <si>
    <t>₩10,784,726,305</t>
  </si>
  <si>
    <t>₩4,174,775,000,000</t>
  </si>
  <si>
    <t>329180</t>
  </si>
  <si>
    <t>HD현대중공업</t>
  </si>
  <si>
    <t>₩47,353,746,738</t>
  </si>
  <si>
    <t>₩18,819,900,592,000</t>
  </si>
  <si>
    <t>088390</t>
  </si>
  <si>
    <t>이녹스</t>
  </si>
  <si>
    <t>₩277,640,209</t>
  </si>
  <si>
    <t>₩90,104,102,400</t>
  </si>
  <si>
    <t>006740</t>
  </si>
  <si>
    <t>영풍제지</t>
  </si>
  <si>
    <t>₩493,544,656</t>
  </si>
  <si>
    <t>₩56,661,738,412</t>
  </si>
  <si>
    <t>009300</t>
  </si>
  <si>
    <t>삼아제약</t>
  </si>
  <si>
    <t>₩760,186,731</t>
  </si>
  <si>
    <t>₩128,992,500,000</t>
  </si>
  <si>
    <t>285490</t>
  </si>
  <si>
    <t>노바텍</t>
  </si>
  <si>
    <t>₩100,163,259</t>
  </si>
  <si>
    <t>₩121,093,264,950</t>
  </si>
  <si>
    <t>079970</t>
  </si>
  <si>
    <t>투비소프트</t>
  </si>
  <si>
    <t>₩552,415,201</t>
  </si>
  <si>
    <t>₩9,309,081,000</t>
  </si>
  <si>
    <t>417180</t>
  </si>
  <si>
    <t>핑거스토리</t>
  </si>
  <si>
    <t>₩509,518,138</t>
  </si>
  <si>
    <t>₩38,425,037,565</t>
  </si>
  <si>
    <t>060570</t>
  </si>
  <si>
    <t>드림어스컴퍼니</t>
  </si>
  <si>
    <t>₩4,900,915,109</t>
  </si>
  <si>
    <t>₩127,573,593,651</t>
  </si>
  <si>
    <t>082210</t>
  </si>
  <si>
    <t>옵트론텍</t>
  </si>
  <si>
    <t>₩148,237,944</t>
  </si>
  <si>
    <t>₩64,237,770,900</t>
  </si>
  <si>
    <t>064520</t>
  </si>
  <si>
    <t>테크엘</t>
  </si>
  <si>
    <t>₩84,817,600</t>
  </si>
  <si>
    <t>₩44,925,634,620</t>
  </si>
  <si>
    <t>357880</t>
  </si>
  <si>
    <t>비트나인</t>
  </si>
  <si>
    <t>₩2,372,469,563</t>
  </si>
  <si>
    <t>₩24,543,296,600</t>
  </si>
  <si>
    <t>453450</t>
  </si>
  <si>
    <t>그리드위즈</t>
  </si>
  <si>
    <t>₩2,526,657,511</t>
  </si>
  <si>
    <t>₩156,710,457,500</t>
  </si>
  <si>
    <t>400760</t>
  </si>
  <si>
    <t>NH올원리츠</t>
  </si>
  <si>
    <t>₩157,452,102</t>
  </si>
  <si>
    <t>₩143,256,833,475</t>
  </si>
  <si>
    <t>355150</t>
  </si>
  <si>
    <t>코스텍시스</t>
  </si>
  <si>
    <t>₩189,634,777</t>
  </si>
  <si>
    <t>₩53,957,662,000</t>
  </si>
  <si>
    <t>203650</t>
  </si>
  <si>
    <t>드림시큐리티</t>
  </si>
  <si>
    <t>₩1,453,186,816</t>
  </si>
  <si>
    <t>₩175,601,966,380</t>
  </si>
  <si>
    <t>060240</t>
  </si>
  <si>
    <t>스타코링크</t>
  </si>
  <si>
    <t>₩118,364,370</t>
  </si>
  <si>
    <t>₩16,221,717,858</t>
  </si>
  <si>
    <t>274400</t>
  </si>
  <si>
    <t>이노시뮬레이션</t>
  </si>
  <si>
    <t>₩120,816,949</t>
  </si>
  <si>
    <t>₩39,099,130,000</t>
  </si>
  <si>
    <t>417970</t>
  </si>
  <si>
    <t>모델솔루션</t>
  </si>
  <si>
    <t>₩457,586,032</t>
  </si>
  <si>
    <t>₩61,408,320,000</t>
  </si>
  <si>
    <t>362320</t>
  </si>
  <si>
    <t>청담글로벌</t>
  </si>
  <si>
    <t>₩2,362,752,018</t>
  </si>
  <si>
    <t>₩128,651,075,400</t>
  </si>
  <si>
    <t>137080</t>
  </si>
  <si>
    <t>나래나노텍</t>
  </si>
  <si>
    <t>₩49,288,974</t>
  </si>
  <si>
    <t>₩33,067,671,780</t>
  </si>
  <si>
    <t>058860</t>
  </si>
  <si>
    <t>KTis</t>
  </si>
  <si>
    <t>₩518,545,102</t>
  </si>
  <si>
    <t>₩92,399,310,000</t>
  </si>
  <si>
    <t>033640</t>
  </si>
  <si>
    <t>네패스</t>
  </si>
  <si>
    <t>₩480,963,615</t>
  </si>
  <si>
    <t>₩169,715,726,720</t>
  </si>
  <si>
    <t>101930</t>
  </si>
  <si>
    <t>인화정공</t>
  </si>
  <si>
    <t>₩641,668,540</t>
  </si>
  <si>
    <t>₩231,258,378,650</t>
  </si>
  <si>
    <t>016920</t>
  </si>
  <si>
    <t>카스</t>
  </si>
  <si>
    <t>₩26,822,436</t>
  </si>
  <si>
    <t>₩30,758,997,618</t>
  </si>
  <si>
    <t>040420</t>
  </si>
  <si>
    <t>정상제이엘에스</t>
  </si>
  <si>
    <t>₩77,144,747</t>
  </si>
  <si>
    <t>₩102,844,741,120</t>
  </si>
  <si>
    <t>415380</t>
  </si>
  <si>
    <t>스튜디오삼익</t>
  </si>
  <si>
    <t>₩109,038,404</t>
  </si>
  <si>
    <t>₩32,451,824,640</t>
  </si>
  <si>
    <t>186230</t>
  </si>
  <si>
    <t>그린플러스</t>
  </si>
  <si>
    <t>₩459,177,152</t>
  </si>
  <si>
    <t>₩92,079,799,880</t>
  </si>
  <si>
    <t>002795</t>
  </si>
  <si>
    <t>아모레G우</t>
  </si>
  <si>
    <t>₩77,436,716</t>
  </si>
  <si>
    <t>₩58,960,495,500</t>
  </si>
  <si>
    <t>043090</t>
  </si>
  <si>
    <t>더테크놀로지</t>
  </si>
  <si>
    <t>₩663,489,547</t>
  </si>
  <si>
    <t>₩24,886,223,100</t>
  </si>
  <si>
    <t>192250</t>
  </si>
  <si>
    <t>케이사인</t>
  </si>
  <si>
    <t>₩81,454,523</t>
  </si>
  <si>
    <t>₩56,607,671,250</t>
  </si>
  <si>
    <t>010955</t>
  </si>
  <si>
    <t>S-Oil우</t>
  </si>
  <si>
    <t>₩149,083,286</t>
  </si>
  <si>
    <t>₩166,306,681,450</t>
  </si>
  <si>
    <t>034230</t>
  </si>
  <si>
    <t>파라다이스</t>
  </si>
  <si>
    <t>₩2,360,734,108</t>
  </si>
  <si>
    <t>₩902,115,054,090</t>
  </si>
  <si>
    <t>004250</t>
  </si>
  <si>
    <t>NPC</t>
  </si>
  <si>
    <t>₩308,691,640</t>
  </si>
  <si>
    <t>₩172,951,200,000</t>
  </si>
  <si>
    <t>099320</t>
  </si>
  <si>
    <t>쎄트렉아이</t>
  </si>
  <si>
    <t>₩7,568,483,779</t>
  </si>
  <si>
    <t>₩551,944,411,200</t>
  </si>
  <si>
    <t>014990</t>
  </si>
  <si>
    <t>인디에프</t>
  </si>
  <si>
    <t>₩1,024,126,901</t>
  </si>
  <si>
    <t>₩62,268,672,855</t>
  </si>
  <si>
    <t>00279K</t>
  </si>
  <si>
    <t>아모레G3우(전환)</t>
  </si>
  <si>
    <t>₩97,248,225</t>
  </si>
  <si>
    <t>₩127,163,146,000</t>
  </si>
  <si>
    <t>037270</t>
  </si>
  <si>
    <t>YG PLUS</t>
  </si>
  <si>
    <t>₩68,808,898,189</t>
  </si>
  <si>
    <t>₩306,046,903,250</t>
  </si>
  <si>
    <t>088290</t>
  </si>
  <si>
    <t>이원컴포텍</t>
  </si>
  <si>
    <t>₩77,491,107</t>
  </si>
  <si>
    <t>₩33,462,222,492</t>
  </si>
  <si>
    <t>003650</t>
  </si>
  <si>
    <t>미창석유</t>
  </si>
  <si>
    <t>₩108,706,133</t>
  </si>
  <si>
    <t>₩167,182,479,200</t>
  </si>
  <si>
    <t>297890</t>
  </si>
  <si>
    <t>HB솔루션</t>
  </si>
  <si>
    <t>₩2,885,608,990</t>
  </si>
  <si>
    <t>₩247,581,993,890</t>
  </si>
  <si>
    <t>033160</t>
  </si>
  <si>
    <t>엠케이전자</t>
  </si>
  <si>
    <t>₩5,406,288,186</t>
  </si>
  <si>
    <t>₩161,304,879,610</t>
  </si>
  <si>
    <t>044780</t>
  </si>
  <si>
    <t>에이치케이</t>
  </si>
  <si>
    <t>₩14,718,868</t>
  </si>
  <si>
    <t>₩22,873,152,732</t>
  </si>
  <si>
    <t>419530</t>
  </si>
  <si>
    <t>SAMG엔터</t>
  </si>
  <si>
    <t>₩4,951,093,640</t>
  </si>
  <si>
    <t>₩97,592,964,800</t>
  </si>
  <si>
    <t>007280</t>
  </si>
  <si>
    <t>한국특강</t>
  </si>
  <si>
    <t>₩66,183,713</t>
  </si>
  <si>
    <t>₩90,003,700,280</t>
  </si>
  <si>
    <t>078590</t>
  </si>
  <si>
    <t>휴림에이텍</t>
  </si>
  <si>
    <t>₩462,465,700</t>
  </si>
  <si>
    <t>₩31,062,524,247</t>
  </si>
  <si>
    <t>031430</t>
  </si>
  <si>
    <t>신세계인터내셔날</t>
  </si>
  <si>
    <t>₩444,130,342</t>
  </si>
  <si>
    <t>₩421,260,000,000</t>
  </si>
  <si>
    <t>172670</t>
  </si>
  <si>
    <t>에이엘티</t>
  </si>
  <si>
    <t>₩278,711,557</t>
  </si>
  <si>
    <t>₩72,667,700,490</t>
  </si>
  <si>
    <t>127710</t>
  </si>
  <si>
    <t>아시아경제</t>
  </si>
  <si>
    <t>₩37,854,781</t>
  </si>
  <si>
    <t>₩45,549,827,010</t>
  </si>
  <si>
    <t>155650</t>
  </si>
  <si>
    <t>와이엠씨</t>
  </si>
  <si>
    <t>₩153,749,590</t>
  </si>
  <si>
    <t>₩73,320,957,870</t>
  </si>
  <si>
    <t>056360</t>
  </si>
  <si>
    <t>코위버</t>
  </si>
  <si>
    <t>₩848,879,753</t>
  </si>
  <si>
    <t>₩46,436,832,000</t>
  </si>
  <si>
    <t>304100</t>
  </si>
  <si>
    <t>솔트룩스</t>
  </si>
  <si>
    <t>₩6,317,086,103</t>
  </si>
  <si>
    <t>₩254,741,928,000</t>
  </si>
  <si>
    <t>012340</t>
  </si>
  <si>
    <t>뉴인텍</t>
  </si>
  <si>
    <t>₩153,559,821</t>
  </si>
  <si>
    <t>₩26,675,352,888</t>
  </si>
  <si>
    <t>402490</t>
  </si>
  <si>
    <t>그린리소스</t>
  </si>
  <si>
    <t>₩4,422,045,400</t>
  </si>
  <si>
    <t>₩128,370,110,320</t>
  </si>
  <si>
    <t>000105</t>
  </si>
  <si>
    <t>유한양행우</t>
  </si>
  <si>
    <t>₩6,671,444,100</t>
  </si>
  <si>
    <t>₩141,358,518,000</t>
  </si>
  <si>
    <t>194370</t>
  </si>
  <si>
    <t>제이에스코퍼레이션</t>
  </si>
  <si>
    <t>₩1,917,520,510</t>
  </si>
  <si>
    <t>₩206,483,164,160</t>
  </si>
  <si>
    <t>083310</t>
  </si>
  <si>
    <t>엘오티베큠</t>
  </si>
  <si>
    <t>₩752,321,935</t>
  </si>
  <si>
    <t>₩165,811,407,230</t>
  </si>
  <si>
    <t>011090</t>
  </si>
  <si>
    <t>에넥스</t>
  </si>
  <si>
    <t>₩43,902,776</t>
  </si>
  <si>
    <t>₩31,615,594,807</t>
  </si>
  <si>
    <t>330730</t>
  </si>
  <si>
    <t>스톤브릿지벤처스</t>
  </si>
  <si>
    <t>₩635,779,108</t>
  </si>
  <si>
    <t>₩73,420,107,350</t>
  </si>
  <si>
    <t>365340</t>
  </si>
  <si>
    <t>성일하이텍</t>
  </si>
  <si>
    <t>₩984,831,614</t>
  </si>
  <si>
    <t>₩610,508,554,100</t>
  </si>
  <si>
    <t>033130</t>
  </si>
  <si>
    <t>디지틀조선</t>
  </si>
  <si>
    <t>₩6,839,953,197</t>
  </si>
  <si>
    <t>₩65,137,293,585</t>
  </si>
  <si>
    <t>015860</t>
  </si>
  <si>
    <t>일진홀딩스</t>
  </si>
  <si>
    <t>₩199,142,985</t>
  </si>
  <si>
    <t>₩202,818,155,130</t>
  </si>
  <si>
    <t>440290</t>
  </si>
  <si>
    <t>HB인베스트먼트</t>
  </si>
  <si>
    <t>₩76,006,844</t>
  </si>
  <si>
    <t>₩48,521,547,900</t>
  </si>
  <si>
    <t>007820</t>
  </si>
  <si>
    <t>에스엠코어</t>
  </si>
  <si>
    <t>₩305,442,759</t>
  </si>
  <si>
    <t>₩90,954,114,840</t>
  </si>
  <si>
    <t>010690</t>
  </si>
  <si>
    <t>화신</t>
  </si>
  <si>
    <t>₩7,017,221,964</t>
  </si>
  <si>
    <t>₩283,902,933,300</t>
  </si>
  <si>
    <t>032560</t>
  </si>
  <si>
    <t>황금에스티</t>
  </si>
  <si>
    <t>₩161,981,588</t>
  </si>
  <si>
    <t>₩87,380,000,000</t>
  </si>
  <si>
    <t>139480</t>
  </si>
  <si>
    <t>이마트</t>
  </si>
  <si>
    <t>₩6,369,503,519</t>
  </si>
  <si>
    <t>₩1,661,398,812,400</t>
  </si>
  <si>
    <t>114810</t>
  </si>
  <si>
    <t>한솔아이원스</t>
  </si>
  <si>
    <t>₩745,194,168</t>
  </si>
  <si>
    <t>₩189,817,894,480</t>
  </si>
  <si>
    <t>083660</t>
  </si>
  <si>
    <t>CSA 코스믹</t>
  </si>
  <si>
    <t>₩19,430,535</t>
  </si>
  <si>
    <t>₩51,753,867,945</t>
  </si>
  <si>
    <t>291230</t>
  </si>
  <si>
    <t>엔피</t>
  </si>
  <si>
    <t>₩499,460,141</t>
  </si>
  <si>
    <t>₩89,293,944,375</t>
  </si>
  <si>
    <t>298540</t>
  </si>
  <si>
    <t>더네이쳐홀딩스</t>
  </si>
  <si>
    <t>₩459,787,064</t>
  </si>
  <si>
    <t>₩145,443,681,600</t>
  </si>
  <si>
    <t>008350</t>
  </si>
  <si>
    <t>남선알미늄</t>
  </si>
  <si>
    <t>₩380,819,707</t>
  </si>
  <si>
    <t>₩182,001,516,900</t>
  </si>
  <si>
    <t>371950</t>
  </si>
  <si>
    <t>풍원정밀</t>
  </si>
  <si>
    <t>₩845,679,360</t>
  </si>
  <si>
    <t>₩208,090,426,320</t>
  </si>
  <si>
    <t>011810</t>
  </si>
  <si>
    <t>STX</t>
  </si>
  <si>
    <t>₩686,867,989</t>
  </si>
  <si>
    <t>₩156,640,531,350</t>
  </si>
  <si>
    <t>393890</t>
  </si>
  <si>
    <t>더블유씨피</t>
  </si>
  <si>
    <t>₩5,271,754,115</t>
  </si>
  <si>
    <t>₩492,980,058,340</t>
  </si>
  <si>
    <t>092300</t>
  </si>
  <si>
    <t>현우산업</t>
  </si>
  <si>
    <t>₩101,717,192</t>
  </si>
  <si>
    <t>₩50,790,059,520</t>
  </si>
  <si>
    <t>005950</t>
  </si>
  <si>
    <t>이수화학</t>
  </si>
  <si>
    <t>₩458,094,732</t>
  </si>
  <si>
    <t>₩163,376,493,410</t>
  </si>
  <si>
    <t>140410</t>
  </si>
  <si>
    <t>메지온</t>
  </si>
  <si>
    <t>₩3,668,649,702</t>
  </si>
  <si>
    <t>₩934,856,114,400</t>
  </si>
  <si>
    <t>424980</t>
  </si>
  <si>
    <t>마이크로투나노</t>
  </si>
  <si>
    <t>₩1,810,409,766</t>
  </si>
  <si>
    <t>₩43,207,897,000</t>
  </si>
  <si>
    <t>081580</t>
  </si>
  <si>
    <t>성우전자</t>
  </si>
  <si>
    <t>₩366,070,453</t>
  </si>
  <si>
    <t>₩72,500,568,525</t>
  </si>
  <si>
    <t>326030</t>
  </si>
  <si>
    <t>SK바이오팜</t>
  </si>
  <si>
    <t>₩52,513,716,524</t>
  </si>
  <si>
    <t>₩8,896,385,200,000</t>
  </si>
  <si>
    <t>193250</t>
  </si>
  <si>
    <t>링크드</t>
  </si>
  <si>
    <t>₩42,161,924</t>
  </si>
  <si>
    <t>₩25,772,614,439</t>
  </si>
  <si>
    <t>222800</t>
  </si>
  <si>
    <t>심텍</t>
  </si>
  <si>
    <t>₩3,514,587,310</t>
  </si>
  <si>
    <t>₩433,216,344,800</t>
  </si>
  <si>
    <t>071670</t>
  </si>
  <si>
    <t>에이테크솔루션</t>
  </si>
  <si>
    <t>₩63,937,350</t>
  </si>
  <si>
    <t>₩60,500,000,000</t>
  </si>
  <si>
    <t>453860</t>
  </si>
  <si>
    <t>에이에스텍</t>
  </si>
  <si>
    <t>₩526,523,602</t>
  </si>
  <si>
    <t>₩131,530,248,750</t>
  </si>
  <si>
    <t>357250</t>
  </si>
  <si>
    <t>미래에셋맵스리츠</t>
  </si>
  <si>
    <t>₩142,241,025</t>
  </si>
  <si>
    <t>₩70,236,245,050</t>
  </si>
  <si>
    <t>017860</t>
  </si>
  <si>
    <t>DS단석</t>
  </si>
  <si>
    <t>₩135,812,945,510</t>
  </si>
  <si>
    <t>₩977,096,046,800</t>
  </si>
  <si>
    <t>008770</t>
  </si>
  <si>
    <t>호텔신라</t>
  </si>
  <si>
    <t>₩5,523,320,148</t>
  </si>
  <si>
    <t>₩1,522,827,094,800</t>
  </si>
  <si>
    <t>020760</t>
  </si>
  <si>
    <t>일진디스플</t>
  </si>
  <si>
    <t>₩45,466,057</t>
  </si>
  <si>
    <t>₩45,332,092,080</t>
  </si>
  <si>
    <t>025560</t>
  </si>
  <si>
    <t>미래산업</t>
  </si>
  <si>
    <t>₩2,711,068,840</t>
  </si>
  <si>
    <t>₩34,408,218,960</t>
  </si>
  <si>
    <t>115610</t>
  </si>
  <si>
    <t>이미지스</t>
  </si>
  <si>
    <t>₩1,079,983,329</t>
  </si>
  <si>
    <t>₩52,571,962,240</t>
  </si>
  <si>
    <t>307870</t>
  </si>
  <si>
    <t>비투엔</t>
  </si>
  <si>
    <t>₩2,812,994,800</t>
  </si>
  <si>
    <t>₩55,580,497,533</t>
  </si>
  <si>
    <t>083470</t>
  </si>
  <si>
    <t>이엠앤아이</t>
  </si>
  <si>
    <t>₩62,220,998</t>
  </si>
  <si>
    <t>₩27,721,087,371</t>
  </si>
  <si>
    <t>104480</t>
  </si>
  <si>
    <t>티케이케미칼</t>
  </si>
  <si>
    <t>₩84,800,545</t>
  </si>
  <si>
    <t>₩119,618,391,144</t>
  </si>
  <si>
    <t>411080</t>
  </si>
  <si>
    <t>샌즈랩</t>
  </si>
  <si>
    <t>₩4,249,731,188</t>
  </si>
  <si>
    <t>₩113,602,353,100</t>
  </si>
  <si>
    <t>011930</t>
  </si>
  <si>
    <t>신성이엔지</t>
  </si>
  <si>
    <t>₩1,032,698,751</t>
  </si>
  <si>
    <t>₩260,192,062,864</t>
  </si>
  <si>
    <t>442900</t>
  </si>
  <si>
    <t>미래에셋드림스팩1호</t>
  </si>
  <si>
    <t>₩236,264,232</t>
  </si>
  <si>
    <t>₩77,260,800,000</t>
  </si>
  <si>
    <t>241790</t>
  </si>
  <si>
    <t>티이엠씨씨엔에스</t>
  </si>
  <si>
    <t>₩330,112,419</t>
  </si>
  <si>
    <t>₩51,213,486,080</t>
  </si>
  <si>
    <t>003547</t>
  </si>
  <si>
    <t>대신증권2우B</t>
  </si>
  <si>
    <t>₩320,192,621</t>
  </si>
  <si>
    <t>₩146,300,000,000</t>
  </si>
  <si>
    <t>105330</t>
  </si>
  <si>
    <t>케이엔더블유</t>
  </si>
  <si>
    <t>₩390,685,968</t>
  </si>
  <si>
    <t>₩88,169,553,720</t>
  </si>
  <si>
    <t>101360</t>
  </si>
  <si>
    <t>에코앤드림</t>
  </si>
  <si>
    <t>₩16,015,920,398</t>
  </si>
  <si>
    <t>₩571,823,565,100</t>
  </si>
  <si>
    <t>006050</t>
  </si>
  <si>
    <t>국영지앤엠</t>
  </si>
  <si>
    <t>₩1,828,736,759</t>
  </si>
  <si>
    <t>₩64,137,456,634</t>
  </si>
  <si>
    <t>457550</t>
  </si>
  <si>
    <t>우진엔텍</t>
  </si>
  <si>
    <t>₩41,867,162,984</t>
  </si>
  <si>
    <t>₩215,558,631,750</t>
  </si>
  <si>
    <t>005960</t>
  </si>
  <si>
    <t>동부건설</t>
  </si>
  <si>
    <t>₩54,437,064</t>
  </si>
  <si>
    <t>₩90,408,599,300</t>
  </si>
  <si>
    <t>309930</t>
  </si>
  <si>
    <t>오하임앤컴퍼니</t>
  </si>
  <si>
    <t>₩100,612,223</t>
  </si>
  <si>
    <t>₩49,075,731,950</t>
  </si>
  <si>
    <t>053160</t>
  </si>
  <si>
    <t>프리엠스</t>
  </si>
  <si>
    <t>₩724,549,775</t>
  </si>
  <si>
    <t>₩78,840,000,000</t>
  </si>
  <si>
    <t>051630</t>
  </si>
  <si>
    <t>진양화학</t>
  </si>
  <si>
    <t>₩21,167,894</t>
  </si>
  <si>
    <t>₩43,371,000,000</t>
  </si>
  <si>
    <t>085810</t>
  </si>
  <si>
    <t>알티캐스트</t>
  </si>
  <si>
    <t>₩578,169,776</t>
  </si>
  <si>
    <t>₩29,558,943,009</t>
  </si>
  <si>
    <t>290650</t>
  </si>
  <si>
    <t>엘앤씨바이오</t>
  </si>
  <si>
    <t>₩1,053,640,129</t>
  </si>
  <si>
    <t>₩383,147,808,990</t>
  </si>
  <si>
    <t>038540</t>
  </si>
  <si>
    <t>상상인</t>
  </si>
  <si>
    <t>₩175,737,314</t>
  </si>
  <si>
    <t>₩96,381,921,246</t>
  </si>
  <si>
    <t>318410</t>
  </si>
  <si>
    <t>비비씨</t>
  </si>
  <si>
    <t>₩60,578,933</t>
  </si>
  <si>
    <t>₩43,997,524,560</t>
  </si>
  <si>
    <t>088280</t>
  </si>
  <si>
    <t>쏘닉스</t>
  </si>
  <si>
    <t>₩366,952,243</t>
  </si>
  <si>
    <t>₩43,525,822,350</t>
  </si>
  <si>
    <t>246960</t>
  </si>
  <si>
    <t>SCL사이언스</t>
  </si>
  <si>
    <t>₩73,665,560</t>
  </si>
  <si>
    <t>₩58,777,046,070</t>
  </si>
  <si>
    <t>187870</t>
  </si>
  <si>
    <t>디바이스이엔지</t>
  </si>
  <si>
    <t>₩57,868,356</t>
  </si>
  <si>
    <t>₩90,209,327,380</t>
  </si>
  <si>
    <t>003120</t>
  </si>
  <si>
    <t>일성아이에스</t>
  </si>
  <si>
    <t>₩104,843,258</t>
  </si>
  <si>
    <t>₩213,864,000,000</t>
  </si>
  <si>
    <t>011300</t>
  </si>
  <si>
    <t>성안머티리얼스</t>
  </si>
  <si>
    <t>₩704,539,702</t>
  </si>
  <si>
    <t>₩33,079,286,994</t>
  </si>
  <si>
    <t>348210</t>
  </si>
  <si>
    <t>넥스틴</t>
  </si>
  <si>
    <t>₩5,228,132,471</t>
  </si>
  <si>
    <t>₩654,415,575,000</t>
  </si>
  <si>
    <t>045300</t>
  </si>
  <si>
    <t>성우테크론</t>
  </si>
  <si>
    <t>₩28,709,506</t>
  </si>
  <si>
    <t>₩26,647,905,375</t>
  </si>
  <si>
    <t>069410</t>
  </si>
  <si>
    <t>엔텔스</t>
  </si>
  <si>
    <t>₩803,246,575</t>
  </si>
  <si>
    <t>₩40,364,606,560</t>
  </si>
  <si>
    <t>000885</t>
  </si>
  <si>
    <t>한화우</t>
  </si>
  <si>
    <t>₩12,565,902</t>
  </si>
  <si>
    <t>₩19,507,265,800</t>
  </si>
  <si>
    <t>001755</t>
  </si>
  <si>
    <t>한양증권우</t>
  </si>
  <si>
    <t>₩100,722,136</t>
  </si>
  <si>
    <t>₩7,024,500,000</t>
  </si>
  <si>
    <t>051780</t>
  </si>
  <si>
    <t>큐로홀딩스</t>
  </si>
  <si>
    <t>₩121,360,183</t>
  </si>
  <si>
    <t>₩17,325,651,150</t>
  </si>
  <si>
    <t>334970</t>
  </si>
  <si>
    <t>프레스티지바이오로직스</t>
  </si>
  <si>
    <t>₩5,443,581,121</t>
  </si>
  <si>
    <t>₩493,150,347,690</t>
  </si>
  <si>
    <t>089790</t>
  </si>
  <si>
    <t>제이티</t>
  </si>
  <si>
    <t>₩307,813,623</t>
  </si>
  <si>
    <t>₩44,356,705,900</t>
  </si>
  <si>
    <t>168490</t>
  </si>
  <si>
    <t>한국패러랠</t>
  </si>
  <si>
    <t>₩1,583,182,188</t>
  </si>
  <si>
    <t>₩9,842,460,000</t>
  </si>
  <si>
    <t>018700</t>
  </si>
  <si>
    <t>바른손</t>
  </si>
  <si>
    <t>₩34,885,565</t>
  </si>
  <si>
    <t>₩40,071,642,737</t>
  </si>
  <si>
    <t>368970</t>
  </si>
  <si>
    <t>오에스피</t>
  </si>
  <si>
    <t>₩57,710,584</t>
  </si>
  <si>
    <t>₩29,440,404,000</t>
  </si>
  <si>
    <t>234100</t>
  </si>
  <si>
    <t>폴라리스세원</t>
  </si>
  <si>
    <t>₩100,429,668</t>
  </si>
  <si>
    <t>₩67,907,689,824</t>
  </si>
  <si>
    <t>210120</t>
  </si>
  <si>
    <t>빅텐츠</t>
  </si>
  <si>
    <t>₩1,804,229,071</t>
  </si>
  <si>
    <t>₩98,583,523,500</t>
  </si>
  <si>
    <t>205500</t>
  </si>
  <si>
    <t>액션스퀘어</t>
  </si>
  <si>
    <t>₩70,980,265</t>
  </si>
  <si>
    <t>₩56,445,866,440</t>
  </si>
  <si>
    <t>002460</t>
  </si>
  <si>
    <t>HS화성</t>
  </si>
  <si>
    <t>₩87,393,570</t>
  </si>
  <si>
    <t>₩96,120,500,000</t>
  </si>
  <si>
    <t>204270</t>
  </si>
  <si>
    <t>제이앤티씨</t>
  </si>
  <si>
    <t>₩20,243,692,469</t>
  </si>
  <si>
    <t>₩938,302,118,520</t>
  </si>
  <si>
    <t>024950</t>
  </si>
  <si>
    <t>삼천리자전거</t>
  </si>
  <si>
    <t>₩63,853,595</t>
  </si>
  <si>
    <t>₩52,895,204,345</t>
  </si>
  <si>
    <t>060540</t>
  </si>
  <si>
    <t>에스에이티</t>
  </si>
  <si>
    <t>₩320,683,766</t>
  </si>
  <si>
    <t>₩36,560,495,094</t>
  </si>
  <si>
    <t>154040</t>
  </si>
  <si>
    <t>다산솔루에타</t>
  </si>
  <si>
    <t>₩185,180,850</t>
  </si>
  <si>
    <t>₩24,412,127,840</t>
  </si>
  <si>
    <t>113810</t>
  </si>
  <si>
    <t>디젠스</t>
  </si>
  <si>
    <t>₩58,011,720</t>
  </si>
  <si>
    <t>₩29,136,849,543</t>
  </si>
  <si>
    <t>007390</t>
  </si>
  <si>
    <t>네이처셀</t>
  </si>
  <si>
    <t>₩64,384,765,752</t>
  </si>
  <si>
    <t>₩1,406,203,858,600</t>
  </si>
  <si>
    <t>405000</t>
  </si>
  <si>
    <t>플라즈맵</t>
  </si>
  <si>
    <t>₩51,870,366</t>
  </si>
  <si>
    <t>₩36,116,428,940</t>
  </si>
  <si>
    <t>104620</t>
  </si>
  <si>
    <t>노랑풍선</t>
  </si>
  <si>
    <t>₩2,614,406,386</t>
  </si>
  <si>
    <t>₩77,547,206,770</t>
  </si>
  <si>
    <t>28513K</t>
  </si>
  <si>
    <t>SK케미칼우</t>
  </si>
  <si>
    <t>₩147,676,143</t>
  </si>
  <si>
    <t>₩44,318,237,550</t>
  </si>
  <si>
    <t>033830</t>
  </si>
  <si>
    <t>티비씨</t>
  </si>
  <si>
    <t>₩39,650,274</t>
  </si>
  <si>
    <t>₩81,000,000,000</t>
  </si>
  <si>
    <t>010620</t>
  </si>
  <si>
    <t>HD현대미포</t>
  </si>
  <si>
    <t>₩33,861,464,910</t>
  </si>
  <si>
    <t>₩4,469,526,473,100</t>
  </si>
  <si>
    <t>064960</t>
  </si>
  <si>
    <t>SNT모티브</t>
  </si>
  <si>
    <t>₩565,659,362</t>
  </si>
  <si>
    <t>₩629,526,004,800</t>
  </si>
  <si>
    <t>239890</t>
  </si>
  <si>
    <t>피엔에이치테크</t>
  </si>
  <si>
    <t>₩638,217,135</t>
  </si>
  <si>
    <t>₩68,059,921,750</t>
  </si>
  <si>
    <t>123010</t>
  </si>
  <si>
    <t>아이윈플러스</t>
  </si>
  <si>
    <t>₩46,334,300</t>
  </si>
  <si>
    <t>₩21,130,076,674</t>
  </si>
  <si>
    <t>003280</t>
  </si>
  <si>
    <t>흥아해운</t>
  </si>
  <si>
    <t>₩3,556,401,572</t>
  </si>
  <si>
    <t>₩434,928,642,291</t>
  </si>
  <si>
    <t>084440</t>
  </si>
  <si>
    <t>유비온</t>
  </si>
  <si>
    <t>₩61,602,270</t>
  </si>
  <si>
    <t>₩16,105,357,600</t>
  </si>
  <si>
    <t>093380</t>
  </si>
  <si>
    <t>풍강</t>
  </si>
  <si>
    <t>₩30,128,367</t>
  </si>
  <si>
    <t>₩26,081,386,320</t>
  </si>
  <si>
    <t>003960</t>
  </si>
  <si>
    <t>사조대림</t>
  </si>
  <si>
    <t>₩2,096,523,660</t>
  </si>
  <si>
    <t>₩377,576,040,400</t>
  </si>
  <si>
    <t>159010</t>
  </si>
  <si>
    <t>아스플로</t>
  </si>
  <si>
    <t>₩224,310,742</t>
  </si>
  <si>
    <t>₩66,540,347,610</t>
  </si>
  <si>
    <t>066910</t>
  </si>
  <si>
    <t>손오공</t>
  </si>
  <si>
    <t>₩135,078,462</t>
  </si>
  <si>
    <t>₩46,622,277,420</t>
  </si>
  <si>
    <t>276040</t>
  </si>
  <si>
    <t>스코넥</t>
  </si>
  <si>
    <t>₩94,129,203</t>
  </si>
  <si>
    <t>₩38,040,056,220</t>
  </si>
  <si>
    <t>290090</t>
  </si>
  <si>
    <t>트윔</t>
  </si>
  <si>
    <t>₩52,077,149</t>
  </si>
  <si>
    <t>₩58,268,981,120</t>
  </si>
  <si>
    <t>066360</t>
  </si>
  <si>
    <t>체리부로</t>
  </si>
  <si>
    <t>₩66,034,806</t>
  </si>
  <si>
    <t>₩34,045,930,650</t>
  </si>
  <si>
    <t>367000</t>
  </si>
  <si>
    <t>플래티어</t>
  </si>
  <si>
    <t>₩28,658,210</t>
  </si>
  <si>
    <t>₩37,411,403,220</t>
  </si>
  <si>
    <t>088800</t>
  </si>
  <si>
    <t>에이스테크</t>
  </si>
  <si>
    <t>₩1,257,638,521</t>
  </si>
  <si>
    <t>₩116,649,275,904</t>
  </si>
  <si>
    <t>118990</t>
  </si>
  <si>
    <t>모트렉스</t>
  </si>
  <si>
    <t>₩1,640,896,380</t>
  </si>
  <si>
    <t>₩275,222,229,300</t>
  </si>
  <si>
    <t>308080</t>
  </si>
  <si>
    <t>바이젠셀</t>
  </si>
  <si>
    <t>₩123,913,422</t>
  </si>
  <si>
    <t>₩57,694,901,300</t>
  </si>
  <si>
    <t>123840</t>
  </si>
  <si>
    <t>뉴온</t>
  </si>
  <si>
    <t>₩990,773,503</t>
  </si>
  <si>
    <t>₩57,012,171,060</t>
  </si>
  <si>
    <t>035250</t>
  </si>
  <si>
    <t>강원랜드</t>
  </si>
  <si>
    <t>₩11,598,206,208</t>
  </si>
  <si>
    <t>₩3,673,358,385,000</t>
  </si>
  <si>
    <t>457190</t>
  </si>
  <si>
    <t>이수스페셜티케미컬</t>
  </si>
  <si>
    <t>₩12,932,665,167</t>
  </si>
  <si>
    <t>₩1,082,966,838,000</t>
  </si>
  <si>
    <t>091970</t>
  </si>
  <si>
    <t>나노캠텍</t>
  </si>
  <si>
    <t>₩66,044,885</t>
  </si>
  <si>
    <t>₩19,008,086,444</t>
  </si>
  <si>
    <t>006980</t>
  </si>
  <si>
    <t>우성</t>
  </si>
  <si>
    <t>₩41,464,763</t>
  </si>
  <si>
    <t>₩49,440,000,000</t>
  </si>
  <si>
    <t>073570</t>
  </si>
  <si>
    <t>리튬포어스</t>
  </si>
  <si>
    <t>₩7,190,556,182</t>
  </si>
  <si>
    <t>₩78,893,103,460</t>
  </si>
  <si>
    <t>166090</t>
  </si>
  <si>
    <t>하나머티리얼즈</t>
  </si>
  <si>
    <t>₩2,345,900,362</t>
  </si>
  <si>
    <t>₩518,175,058,800</t>
  </si>
  <si>
    <t>438700</t>
  </si>
  <si>
    <t>버넥트</t>
  </si>
  <si>
    <t>₩93,619,849</t>
  </si>
  <si>
    <t>₩32,041,558,750</t>
  </si>
  <si>
    <t>452430</t>
  </si>
  <si>
    <t>사피엔반도체</t>
  </si>
  <si>
    <t>₩691,786,856</t>
  </si>
  <si>
    <t>₩84,850,837,920</t>
  </si>
  <si>
    <t>096350</t>
  </si>
  <si>
    <t>대창솔루션</t>
  </si>
  <si>
    <t>₩122,404,976</t>
  </si>
  <si>
    <t>₩60,919,095,348</t>
  </si>
  <si>
    <t>451800</t>
  </si>
  <si>
    <t>한화리츠</t>
  </si>
  <si>
    <t>₩917,817,889</t>
  </si>
  <si>
    <t>₩254,160,000,000</t>
  </si>
  <si>
    <t>001550</t>
  </si>
  <si>
    <t>조비</t>
  </si>
  <si>
    <t>₩95,549,344</t>
  </si>
  <si>
    <t>₩53,480,061,700</t>
  </si>
  <si>
    <t>008490</t>
  </si>
  <si>
    <t>서흥</t>
  </si>
  <si>
    <t>₩117,881,083</t>
  </si>
  <si>
    <t>₩169,256,123,190</t>
  </si>
  <si>
    <t>002700</t>
  </si>
  <si>
    <t>신일전자</t>
  </si>
  <si>
    <t>₩318,231,146</t>
  </si>
  <si>
    <t>₩106,144,996,374</t>
  </si>
  <si>
    <t>071950</t>
  </si>
  <si>
    <t>코아스</t>
  </si>
  <si>
    <t>₩175,690,630</t>
  </si>
  <si>
    <t>₩31,196,025,600</t>
  </si>
  <si>
    <t>101670</t>
  </si>
  <si>
    <t>하이드로리튬</t>
  </si>
  <si>
    <t>₩19,137,015,956</t>
  </si>
  <si>
    <t>₩154,299,593,160</t>
  </si>
  <si>
    <t>45014K</t>
  </si>
  <si>
    <t>코오롱모빌리티그룹우</t>
  </si>
  <si>
    <t>₩7,182,868</t>
  </si>
  <si>
    <t>₩8,706,945,400</t>
  </si>
  <si>
    <t>066900</t>
  </si>
  <si>
    <t>디에이피</t>
  </si>
  <si>
    <t>₩57,825,173</t>
  </si>
  <si>
    <t>₩54,359,362,170</t>
  </si>
  <si>
    <t>456010</t>
  </si>
  <si>
    <t>아이씨티케이</t>
  </si>
  <si>
    <t>₩6,628,166,245</t>
  </si>
  <si>
    <t>₩88,851,141,120</t>
  </si>
  <si>
    <t>008775</t>
  </si>
  <si>
    <t>호텔신라우</t>
  </si>
  <si>
    <t>₩61,585,319</t>
  </si>
  <si>
    <t>₩26,390,952,900</t>
  </si>
  <si>
    <t>298000</t>
  </si>
  <si>
    <t>효성화학</t>
  </si>
  <si>
    <t>₩1,091,833,629</t>
  </si>
  <si>
    <t>₩135,746,833,800</t>
  </si>
  <si>
    <t>297570</t>
  </si>
  <si>
    <t>알로이스</t>
  </si>
  <si>
    <t>₩354,833,753</t>
  </si>
  <si>
    <t>₩35,071,293,834</t>
  </si>
  <si>
    <t>005850</t>
  </si>
  <si>
    <t>에스엘</t>
  </si>
  <si>
    <t>₩2,534,212,436</t>
  </si>
  <si>
    <t>₩1,477,062,936,000</t>
  </si>
  <si>
    <t>085670</t>
  </si>
  <si>
    <t>뉴프렉스</t>
  </si>
  <si>
    <t>₩3,382,494,056</t>
  </si>
  <si>
    <t>₩116,996,891,385</t>
  </si>
  <si>
    <t>361570</t>
  </si>
  <si>
    <t>알비더블유</t>
  </si>
  <si>
    <t>₩177,615,784</t>
  </si>
  <si>
    <t>₩59,847,758,190</t>
  </si>
  <si>
    <t>044340</t>
  </si>
  <si>
    <t>위닉스</t>
  </si>
  <si>
    <t>₩56,080,444</t>
  </si>
  <si>
    <t>₩101,878,522,500</t>
  </si>
  <si>
    <t>097800</t>
  </si>
  <si>
    <t>윈팩</t>
  </si>
  <si>
    <t>₩3,408,611,512</t>
  </si>
  <si>
    <t>₩116,450,229,000</t>
  </si>
  <si>
    <t>413630</t>
  </si>
  <si>
    <t>씨피시스템</t>
  </si>
  <si>
    <t>₩101,436,152</t>
  </si>
  <si>
    <t>₩85,147,535,000</t>
  </si>
  <si>
    <t>003925</t>
  </si>
  <si>
    <t>남양유업우</t>
  </si>
  <si>
    <t>₩221,148,238</t>
  </si>
  <si>
    <t>₩79,900,000,000</t>
  </si>
  <si>
    <t>052420</t>
  </si>
  <si>
    <t>오성첨단소재</t>
  </si>
  <si>
    <t>₩12,331,331,441</t>
  </si>
  <si>
    <t>₩126,969,647,432</t>
  </si>
  <si>
    <t>065130</t>
  </si>
  <si>
    <t>탑엔지니어링</t>
  </si>
  <si>
    <t>₩142,252,456</t>
  </si>
  <si>
    <t>₩77,354,919,000</t>
  </si>
  <si>
    <t>002990</t>
  </si>
  <si>
    <t>금호건설</t>
  </si>
  <si>
    <t>₩101,082,405</t>
  </si>
  <si>
    <t>₩102,730,994,100</t>
  </si>
  <si>
    <t>234920</t>
  </si>
  <si>
    <t>자이글</t>
  </si>
  <si>
    <t>₩2,483,436,001</t>
  </si>
  <si>
    <t>₩73,743,459,500</t>
  </si>
  <si>
    <t>054620</t>
  </si>
  <si>
    <t>APS</t>
  </si>
  <si>
    <t>₩129,440,392</t>
  </si>
  <si>
    <t>₩119,962,152,630</t>
  </si>
  <si>
    <t>251630</t>
  </si>
  <si>
    <t>브이원텍</t>
  </si>
  <si>
    <t>₩142,253,875</t>
  </si>
  <si>
    <t>₩63,133,828,560</t>
  </si>
  <si>
    <t>064090</t>
  </si>
  <si>
    <t>인크레더블버즈</t>
  </si>
  <si>
    <t>₩650,761,892</t>
  </si>
  <si>
    <t>₩191,260,854,525</t>
  </si>
  <si>
    <t>002410</t>
  </si>
  <si>
    <t>범양건영</t>
  </si>
  <si>
    <t>₩157,035,178</t>
  </si>
  <si>
    <t>₩32,629,224,348</t>
  </si>
  <si>
    <t>018310</t>
  </si>
  <si>
    <t>삼목에스폼</t>
  </si>
  <si>
    <t>₩478,187,374</t>
  </si>
  <si>
    <t>₩313,110,000,000</t>
  </si>
  <si>
    <t>003830</t>
  </si>
  <si>
    <t>대한화섬</t>
  </si>
  <si>
    <t>₩217,054,267</t>
  </si>
  <si>
    <t>₩152,587,200,000</t>
  </si>
  <si>
    <t>308170</t>
  </si>
  <si>
    <t>씨티알모빌리티</t>
  </si>
  <si>
    <t>₩44,720,399</t>
  </si>
  <si>
    <t>₩42,748,650,000</t>
  </si>
  <si>
    <t>352480</t>
  </si>
  <si>
    <t>씨앤씨인터내셔널</t>
  </si>
  <si>
    <t>₩7,740,020,990</t>
  </si>
  <si>
    <t>₩537,748,631,700</t>
  </si>
  <si>
    <t>418420</t>
  </si>
  <si>
    <t>라온텍</t>
  </si>
  <si>
    <t>₩224,564,787</t>
  </si>
  <si>
    <t>₩90,325,299,000</t>
  </si>
  <si>
    <t>080530</t>
  </si>
  <si>
    <t>코디</t>
  </si>
  <si>
    <t>₩53,813,244</t>
  </si>
  <si>
    <t>₩53,562,628,199</t>
  </si>
  <si>
    <t>114630</t>
  </si>
  <si>
    <t>폴라리스우노</t>
  </si>
  <si>
    <t>₩81,370,564</t>
  </si>
  <si>
    <t>₩42,144,591,016</t>
  </si>
  <si>
    <t>264450</t>
  </si>
  <si>
    <t>유비쿼스</t>
  </si>
  <si>
    <t>₩319,351,066</t>
  </si>
  <si>
    <t>₩136,751,848,750</t>
  </si>
  <si>
    <t>412540</t>
  </si>
  <si>
    <t>제일엠앤에스</t>
  </si>
  <si>
    <t>₩1,395,479,132</t>
  </si>
  <si>
    <t>₩184,993,971,700</t>
  </si>
  <si>
    <t>063160</t>
  </si>
  <si>
    <t>종근당바이오</t>
  </si>
  <si>
    <t>₩829,194,164</t>
  </si>
  <si>
    <t>₩123,982,741,200</t>
  </si>
  <si>
    <t>086040</t>
  </si>
  <si>
    <t>바이오톡스텍</t>
  </si>
  <si>
    <t>₩335,729,880</t>
  </si>
  <si>
    <t>₩56,412,403,145</t>
  </si>
  <si>
    <t>308100</t>
  </si>
  <si>
    <t>까스텔바작</t>
  </si>
  <si>
    <t>₩33,107,556</t>
  </si>
  <si>
    <t>₩18,847,365,385</t>
  </si>
  <si>
    <t>347860</t>
  </si>
  <si>
    <t>알체라</t>
  </si>
  <si>
    <t>₩144,155,787</t>
  </si>
  <si>
    <t>₩45,911,007,780</t>
  </si>
  <si>
    <t>118000</t>
  </si>
  <si>
    <t>메타케어</t>
  </si>
  <si>
    <t>₩34,728,118</t>
  </si>
  <si>
    <t>₩57,342,522,672</t>
  </si>
  <si>
    <t>417010</t>
  </si>
  <si>
    <t>나노팀</t>
  </si>
  <si>
    <t>₩740,382,012</t>
  </si>
  <si>
    <t>₩162,133,976,160</t>
  </si>
  <si>
    <t>464080</t>
  </si>
  <si>
    <t>에스오에스랩</t>
  </si>
  <si>
    <t>₩2,780,530,554</t>
  </si>
  <si>
    <t>₩121,474,172,100</t>
  </si>
  <si>
    <t>096690</t>
  </si>
  <si>
    <t>에이루트</t>
  </si>
  <si>
    <t>₩64,145,332</t>
  </si>
  <si>
    <t>₩38,130,518,271</t>
  </si>
  <si>
    <t>377190</t>
  </si>
  <si>
    <t>디앤디플랫폼리츠</t>
  </si>
  <si>
    <t>₩558,092,626</t>
  </si>
  <si>
    <t>₩174,524,000,000</t>
  </si>
  <si>
    <t>095340</t>
  </si>
  <si>
    <t>ISC</t>
  </si>
  <si>
    <t>₩8,545,996,667</t>
  </si>
  <si>
    <t>₩1,076,810,546,400</t>
  </si>
  <si>
    <t>078890</t>
  </si>
  <si>
    <t>가온그룹</t>
  </si>
  <si>
    <t>₩286,130,070</t>
  </si>
  <si>
    <t>₩59,890,940,080</t>
  </si>
  <si>
    <t>012170</t>
  </si>
  <si>
    <t>아센디오</t>
  </si>
  <si>
    <t>₩730,528,353</t>
  </si>
  <si>
    <t>₩42,981,337,520</t>
  </si>
  <si>
    <t>357430</t>
  </si>
  <si>
    <t>마스턴프리미어리츠</t>
  </si>
  <si>
    <t>₩197,535,132</t>
  </si>
  <si>
    <t>₩47,073,180,000</t>
  </si>
  <si>
    <t>040910</t>
  </si>
  <si>
    <t>아이씨디</t>
  </si>
  <si>
    <t>₩210,055,050</t>
  </si>
  <si>
    <t>₩83,677,108,875</t>
  </si>
  <si>
    <t>126560</t>
  </si>
  <si>
    <t>현대퓨처넷</t>
  </si>
  <si>
    <t>₩923,681,736</t>
  </si>
  <si>
    <t>₩415,465,102,650</t>
  </si>
  <si>
    <t>461030</t>
  </si>
  <si>
    <t>아이엠비디엑스</t>
  </si>
  <si>
    <t>₩4,299,123,679</t>
  </si>
  <si>
    <t>₩189,379,802,500</t>
  </si>
  <si>
    <t>331380</t>
  </si>
  <si>
    <t>포커스에이치엔에스</t>
  </si>
  <si>
    <t>₩1,988,265,214</t>
  </si>
  <si>
    <t>₩59,199,802,460</t>
  </si>
  <si>
    <t>012700</t>
  </si>
  <si>
    <t>리드코프</t>
  </si>
  <si>
    <t>₩62,544,868</t>
  </si>
  <si>
    <t>₩112,263,843,075</t>
  </si>
  <si>
    <t>020710</t>
  </si>
  <si>
    <t>시공테크</t>
  </si>
  <si>
    <t>₩111,348,585</t>
  </si>
  <si>
    <t>₩69,065,256,650</t>
  </si>
  <si>
    <t>168360</t>
  </si>
  <si>
    <t>펨트론</t>
  </si>
  <si>
    <t>₩15,481,291,745</t>
  </si>
  <si>
    <t>₩141,354,205,760</t>
  </si>
  <si>
    <t>000210</t>
  </si>
  <si>
    <t>DL</t>
  </si>
  <si>
    <t>₩2,111,633,490</t>
  </si>
  <si>
    <t>₩734,503,734,200</t>
  </si>
  <si>
    <t>330590</t>
  </si>
  <si>
    <t>롯데리츠</t>
  </si>
  <si>
    <t>₩883,519,580</t>
  </si>
  <si>
    <t>₩782,359,806,480</t>
  </si>
  <si>
    <t>277070</t>
  </si>
  <si>
    <t>린드먼아시아</t>
  </si>
  <si>
    <t>₩88,165,458</t>
  </si>
  <si>
    <t>₩56,890,260,000</t>
  </si>
  <si>
    <t>389260</t>
  </si>
  <si>
    <t>대명에너지</t>
  </si>
  <si>
    <t>₩1,586,725,325</t>
  </si>
  <si>
    <t>₩175,615,000,000</t>
  </si>
  <si>
    <t>950110</t>
  </si>
  <si>
    <t>SBI핀테크솔루션즈</t>
  </si>
  <si>
    <t>₩34,087,248</t>
  </si>
  <si>
    <t>₩81,057,059,800</t>
  </si>
  <si>
    <t>065530</t>
  </si>
  <si>
    <t>와이어블</t>
  </si>
  <si>
    <t>₩51,096,401</t>
  </si>
  <si>
    <t>₩75,695,520,000</t>
  </si>
  <si>
    <t>071280</t>
  </si>
  <si>
    <t>로체시스템즈</t>
  </si>
  <si>
    <t>₩830,495,744</t>
  </si>
  <si>
    <t>₩244,745,648,000</t>
  </si>
  <si>
    <t>430690</t>
  </si>
  <si>
    <t>한싹</t>
  </si>
  <si>
    <t>₩1,717,039,649</t>
  </si>
  <si>
    <t>₩55,457,214,430</t>
  </si>
  <si>
    <t>025620</t>
  </si>
  <si>
    <t>제이준코스메틱</t>
  </si>
  <si>
    <t>₩28,508,506</t>
  </si>
  <si>
    <t>₩20,876,958,130</t>
  </si>
  <si>
    <t>064850</t>
  </si>
  <si>
    <t>에프앤가이드</t>
  </si>
  <si>
    <t>₩1,597,370,693</t>
  </si>
  <si>
    <t>₩102,921,194,640</t>
  </si>
  <si>
    <t>070300</t>
  </si>
  <si>
    <t>엑스큐어</t>
  </si>
  <si>
    <t>₩541,804,264</t>
  </si>
  <si>
    <t>₩30,817,470,420</t>
  </si>
  <si>
    <t>045510</t>
  </si>
  <si>
    <t>정원엔시스</t>
  </si>
  <si>
    <t>₩11,467,709</t>
  </si>
  <si>
    <t>₩27,603,363,244</t>
  </si>
  <si>
    <t>435620</t>
  </si>
  <si>
    <t>하나금융25호스팩</t>
  </si>
  <si>
    <t>₩193,218,326</t>
  </si>
  <si>
    <t>₩44,869,860,000</t>
  </si>
  <si>
    <t>123330</t>
  </si>
  <si>
    <t>제닉</t>
  </si>
  <si>
    <t>₩6,966,049,956</t>
  </si>
  <si>
    <t>₩159,373,600,000</t>
  </si>
  <si>
    <t>009810</t>
  </si>
  <si>
    <t>플레이그램</t>
  </si>
  <si>
    <t>₩288,662,713</t>
  </si>
  <si>
    <t>₩52,249,300,000</t>
  </si>
  <si>
    <t>255220</t>
  </si>
  <si>
    <t>SG</t>
  </si>
  <si>
    <t>₩53,009,078,821</t>
  </si>
  <si>
    <t>₩349,177,584,000</t>
  </si>
  <si>
    <t>263690</t>
  </si>
  <si>
    <t>디알젬</t>
  </si>
  <si>
    <t>₩69,898,683</t>
  </si>
  <si>
    <t>₩71,464,599,100</t>
  </si>
  <si>
    <t>204840</t>
  </si>
  <si>
    <t>지엘팜텍</t>
  </si>
  <si>
    <t>₩69,623,868</t>
  </si>
  <si>
    <t>₩79,786,083,828</t>
  </si>
  <si>
    <t>243840</t>
  </si>
  <si>
    <t>신흥에스이씨</t>
  </si>
  <si>
    <t>₩993,720,672</t>
  </si>
  <si>
    <t>₩264,649,438,000</t>
  </si>
  <si>
    <t>448740</t>
  </si>
  <si>
    <t>삼성스팩8호</t>
  </si>
  <si>
    <t>₩112,791,813</t>
  </si>
  <si>
    <t>₩47,292,960,000</t>
  </si>
  <si>
    <t>082640</t>
  </si>
  <si>
    <t>동양생명</t>
  </si>
  <si>
    <t>₩1,312,310,554</t>
  </si>
  <si>
    <t>₩922,971,106,200</t>
  </si>
  <si>
    <t>074610</t>
  </si>
  <si>
    <t>이엔플러스</t>
  </si>
  <si>
    <t>₩779,985,469</t>
  </si>
  <si>
    <t>₩75,135,722,496</t>
  </si>
  <si>
    <t>036710</t>
  </si>
  <si>
    <t>심텍홀딩스</t>
  </si>
  <si>
    <t>₩99,441,807</t>
  </si>
  <si>
    <t>₩60,776,132,265</t>
  </si>
  <si>
    <t>900300</t>
  </si>
  <si>
    <t>오가닉티코스메틱</t>
  </si>
  <si>
    <t>₩1,305,662,626</t>
  </si>
  <si>
    <t>₩33,190,285,036</t>
  </si>
  <si>
    <t>002920</t>
  </si>
  <si>
    <t>유성기업</t>
  </si>
  <si>
    <t>₩56,478,219</t>
  </si>
  <si>
    <t>₩51,116,575,000</t>
  </si>
  <si>
    <t>192440</t>
  </si>
  <si>
    <t>슈피겐코리아</t>
  </si>
  <si>
    <t>₩170,757,131</t>
  </si>
  <si>
    <t>₩132,408,531,900</t>
  </si>
  <si>
    <t>900100</t>
  </si>
  <si>
    <t>애머릿지</t>
  </si>
  <si>
    <t>₩352,562,219</t>
  </si>
  <si>
    <t>₩50,299,895,608</t>
  </si>
  <si>
    <t>370090</t>
  </si>
  <si>
    <t>퓨런티어</t>
  </si>
  <si>
    <t>₩5,871,357,609</t>
  </si>
  <si>
    <t>₩188,221,943,000</t>
  </si>
  <si>
    <t>317690</t>
  </si>
  <si>
    <t>퀀타매트릭스</t>
  </si>
  <si>
    <t>₩3,032,357,211</t>
  </si>
  <si>
    <t>₩109,808,409,040</t>
  </si>
  <si>
    <t>272290</t>
  </si>
  <si>
    <t>이녹스첨단소재</t>
  </si>
  <si>
    <t>₩2,624,238,055</t>
  </si>
  <si>
    <t>₩457,145,070,800</t>
  </si>
  <si>
    <t>036420</t>
  </si>
  <si>
    <t>콘텐트리중앙</t>
  </si>
  <si>
    <t>₩541,263,084</t>
  </si>
  <si>
    <t>₩167,196,833,440</t>
  </si>
  <si>
    <t>052710</t>
  </si>
  <si>
    <t>아모텍</t>
  </si>
  <si>
    <t>₩779,906,987</t>
  </si>
  <si>
    <t>₩52,029,788,040</t>
  </si>
  <si>
    <t>036560</t>
  </si>
  <si>
    <t>영풍정밀</t>
  </si>
  <si>
    <t>₩23,303,493,455</t>
  </si>
  <si>
    <t>₩257,197,500,000</t>
  </si>
  <si>
    <t>094850</t>
  </si>
  <si>
    <t>참좋은여행</t>
  </si>
  <si>
    <t>₩3,483,496,111</t>
  </si>
  <si>
    <t>₩79,800,000,000</t>
  </si>
  <si>
    <t>003920</t>
  </si>
  <si>
    <t>남양유업</t>
  </si>
  <si>
    <t>₩1,842,518,857</t>
  </si>
  <si>
    <t>₩466,975,197,000</t>
  </si>
  <si>
    <t>168330</t>
  </si>
  <si>
    <t>내츄럴엔도텍</t>
  </si>
  <si>
    <t>₩69,377,922</t>
  </si>
  <si>
    <t>₩45,917,585,400</t>
  </si>
  <si>
    <t>000180</t>
  </si>
  <si>
    <t>성창기업지주</t>
  </si>
  <si>
    <t>₩58,890,285</t>
  </si>
  <si>
    <t>₩99,396,030,000</t>
  </si>
  <si>
    <t>021820</t>
  </si>
  <si>
    <t>세원정공</t>
  </si>
  <si>
    <t>₩41,205,396</t>
  </si>
  <si>
    <t>₩69,200,000,000</t>
  </si>
  <si>
    <t>088260</t>
  </si>
  <si>
    <t>이리츠코크렙</t>
  </si>
  <si>
    <t>₩547,294,974</t>
  </si>
  <si>
    <t>₩270,151,881,350</t>
  </si>
  <si>
    <t>219550</t>
  </si>
  <si>
    <t>디와이디</t>
  </si>
  <si>
    <t>₩5,960,349,492</t>
  </si>
  <si>
    <t>₩77,255,777,496</t>
  </si>
  <si>
    <t>019490</t>
  </si>
  <si>
    <t>하이트론</t>
  </si>
  <si>
    <t>₩3,708,835,175</t>
  </si>
  <si>
    <t>₩90,583,471,035</t>
  </si>
  <si>
    <t>104460</t>
  </si>
  <si>
    <t>디와이피엔에프</t>
  </si>
  <si>
    <t>₩468,103,797</t>
  </si>
  <si>
    <t>₩118,278,420,000</t>
  </si>
  <si>
    <t>072130</t>
  </si>
  <si>
    <t>유엔젤</t>
  </si>
  <si>
    <t>₩962,718,870</t>
  </si>
  <si>
    <t>₩66,241,179,080</t>
  </si>
  <si>
    <t>047080</t>
  </si>
  <si>
    <t>한빛소프트</t>
  </si>
  <si>
    <t>₩161,607,704</t>
  </si>
  <si>
    <t>₩33,758,412,320</t>
  </si>
  <si>
    <t>487570</t>
  </si>
  <si>
    <t>HS효성</t>
  </si>
  <si>
    <t>₩277,702,002</t>
  </si>
  <si>
    <t>₩140,840,040,600</t>
  </si>
  <si>
    <t>003560</t>
  </si>
  <si>
    <t>IHQ</t>
  </si>
  <si>
    <t>₩0</t>
  </si>
  <si>
    <t>₩64,669,472,240</t>
  </si>
  <si>
    <t>033180</t>
  </si>
  <si>
    <t>KH 필룩스</t>
  </si>
  <si>
    <t>₩125,330,728,770</t>
  </si>
  <si>
    <t>214390</t>
  </si>
  <si>
    <t>경보제약</t>
  </si>
  <si>
    <t>₩177,867,038,400</t>
  </si>
  <si>
    <t>001140</t>
  </si>
  <si>
    <t>국보</t>
  </si>
  <si>
    <t>₩33,456,978,680</t>
  </si>
  <si>
    <t>008110</t>
  </si>
  <si>
    <t>대동전자</t>
  </si>
  <si>
    <t>₩157,776,322,880</t>
  </si>
  <si>
    <t>000300</t>
  </si>
  <si>
    <t>대유플러스</t>
  </si>
  <si>
    <t>₩156,936,737,152</t>
  </si>
  <si>
    <t>001080</t>
  </si>
  <si>
    <t>만호제강</t>
  </si>
  <si>
    <t>₩191,210,752</t>
  </si>
  <si>
    <t>₩124,500,000,000</t>
  </si>
  <si>
    <t>005030</t>
  </si>
  <si>
    <t>부산주공</t>
  </si>
  <si>
    <t>₩38,288,532,168</t>
  </si>
  <si>
    <t>062040</t>
  </si>
  <si>
    <t>산일전기</t>
  </si>
  <si>
    <t>₩49,206,737,950</t>
  </si>
  <si>
    <t>₩1,878,468,840,000</t>
  </si>
  <si>
    <t>007610</t>
  </si>
  <si>
    <t>선도전기</t>
  </si>
  <si>
    <t>₩54,000,000,000</t>
  </si>
  <si>
    <t>091090</t>
  </si>
  <si>
    <t>세원이앤씨</t>
  </si>
  <si>
    <t>₩54,838,923,850</t>
  </si>
  <si>
    <t>462870</t>
  </si>
  <si>
    <t>시프트업</t>
  </si>
  <si>
    <t>₩22,610,990,781</t>
  </si>
  <si>
    <t>₩3,529,250,560,000</t>
  </si>
  <si>
    <t>481850</t>
  </si>
  <si>
    <t>신한글로벌액티브리츠</t>
  </si>
  <si>
    <t>₩315,117,935</t>
  </si>
  <si>
    <t>₩84,737,967,136</t>
  </si>
  <si>
    <t>102280</t>
  </si>
  <si>
    <t>쌍방울</t>
  </si>
  <si>
    <t>₩70,637,274,900</t>
  </si>
  <si>
    <t>140910</t>
  </si>
  <si>
    <t>에이리츠</t>
  </si>
  <si>
    <t>₩13,969,290,160</t>
  </si>
  <si>
    <t>010600</t>
  </si>
  <si>
    <t>웰바이오텍</t>
  </si>
  <si>
    <t>₩49,553,256,815</t>
  </si>
  <si>
    <t>093230</t>
  </si>
  <si>
    <t>이아이디</t>
  </si>
  <si>
    <t>₩354,103,029,120</t>
  </si>
  <si>
    <t>101140</t>
  </si>
  <si>
    <t>인바이오젠</t>
  </si>
  <si>
    <t>₩93,812,977,440</t>
  </si>
  <si>
    <t>079900</t>
  </si>
  <si>
    <t>전진건설로봇</t>
  </si>
  <si>
    <t>₩43,505,490,192</t>
  </si>
  <si>
    <t>₩383,054,306,250</t>
  </si>
  <si>
    <t>109070</t>
  </si>
  <si>
    <t>주성코퍼레이션</t>
  </si>
  <si>
    <t>₩216,521,943,000</t>
  </si>
  <si>
    <t>012600</t>
  </si>
  <si>
    <t>청호ICT</t>
  </si>
  <si>
    <t>₩116,119,947,330</t>
  </si>
  <si>
    <t>006380</t>
  </si>
  <si>
    <t>카프로</t>
  </si>
  <si>
    <t>₩618,539,985,360</t>
  </si>
  <si>
    <t>009410</t>
  </si>
  <si>
    <t>태영건설</t>
  </si>
  <si>
    <t>₩2,041,718,199</t>
  </si>
  <si>
    <t>₩859,397,430,945</t>
  </si>
  <si>
    <t>009415</t>
  </si>
  <si>
    <t>태영건설우</t>
  </si>
  <si>
    <t>₩152,539,561</t>
  </si>
  <si>
    <t>₩4,003,839,840</t>
  </si>
  <si>
    <t>005110</t>
  </si>
  <si>
    <t>한창</t>
  </si>
  <si>
    <t>₩23,332,434,378</t>
  </si>
  <si>
    <t>489790</t>
  </si>
  <si>
    <t>한화인더스트리얼솔루션즈</t>
  </si>
  <si>
    <t>₩209,270,254,810</t>
  </si>
  <si>
    <t>₩2,206,342,643,000</t>
  </si>
  <si>
    <t>139050</t>
  </si>
  <si>
    <t>BF랩스</t>
  </si>
  <si>
    <t>₩24,247,965,555</t>
  </si>
  <si>
    <t>456440</t>
  </si>
  <si>
    <t>DB금융스팩11호</t>
  </si>
  <si>
    <t>₩11,663,261</t>
  </si>
  <si>
    <t>₩12,091,625,000</t>
  </si>
  <si>
    <t>099520</t>
  </si>
  <si>
    <t>DGI</t>
  </si>
  <si>
    <t>₩58,141,862,016</t>
  </si>
  <si>
    <t>025440</t>
  </si>
  <si>
    <t>DH오토웨어</t>
  </si>
  <si>
    <t>₩638,995,902</t>
  </si>
  <si>
    <t>₩36,167,938,200</t>
  </si>
  <si>
    <t>245620</t>
  </si>
  <si>
    <t>EDGC</t>
  </si>
  <si>
    <t>₩57,474,989,665</t>
  </si>
  <si>
    <t>455250</t>
  </si>
  <si>
    <t>KB제25호스팩</t>
  </si>
  <si>
    <t>₩11,365,200,000</t>
  </si>
  <si>
    <t>458320</t>
  </si>
  <si>
    <t>KB제26호스팩</t>
  </si>
  <si>
    <t>₩77,327,290</t>
  </si>
  <si>
    <t>₩12,936,750,000</t>
  </si>
  <si>
    <t>476470</t>
  </si>
  <si>
    <t>KB제28호스팩</t>
  </si>
  <si>
    <t>₩6,727,803</t>
  </si>
  <si>
    <t>₩11,532,975,000</t>
  </si>
  <si>
    <t>486630</t>
  </si>
  <si>
    <t>KB제30호스팩</t>
  </si>
  <si>
    <t>₩112,690,260</t>
  </si>
  <si>
    <t>₩10,938,600,000</t>
  </si>
  <si>
    <t>226360</t>
  </si>
  <si>
    <t>KH 건설</t>
  </si>
  <si>
    <t>₩60,698,450,260</t>
  </si>
  <si>
    <t>111870</t>
  </si>
  <si>
    <t>KH 미래물산</t>
  </si>
  <si>
    <t>₩43,928,518,590</t>
  </si>
  <si>
    <t>476080</t>
  </si>
  <si>
    <t>M83</t>
  </si>
  <si>
    <t>₩2,319,781,544</t>
  </si>
  <si>
    <t>₩93,497,850,000</t>
  </si>
  <si>
    <t>038340</t>
  </si>
  <si>
    <t>MIT</t>
  </si>
  <si>
    <t>₩39,979,891,836</t>
  </si>
  <si>
    <t>222160</t>
  </si>
  <si>
    <t>NPX</t>
  </si>
  <si>
    <t>₩79,551,289,560</t>
  </si>
  <si>
    <t>049470</t>
  </si>
  <si>
    <t>SGA</t>
  </si>
  <si>
    <t>₩422,377,413</t>
  </si>
  <si>
    <t>₩18,541,608,435</t>
  </si>
  <si>
    <t>317240</t>
  </si>
  <si>
    <t>TS트릴리온</t>
  </si>
  <si>
    <t>₩29,920,217,238</t>
  </si>
  <si>
    <t>900280</t>
  </si>
  <si>
    <t>골든센츄리</t>
  </si>
  <si>
    <t>₩19,924,215,936</t>
  </si>
  <si>
    <t>014200</t>
  </si>
  <si>
    <t>광림</t>
  </si>
  <si>
    <t>₩91,311,391,200</t>
  </si>
  <si>
    <t>421800</t>
  </si>
  <si>
    <t>교보12호스팩</t>
  </si>
  <si>
    <t>₩172,740,838</t>
  </si>
  <si>
    <t>₩16,205,800,000</t>
  </si>
  <si>
    <t>482520</t>
  </si>
  <si>
    <t>교보16호스팩</t>
  </si>
  <si>
    <t>₩51,238,657</t>
  </si>
  <si>
    <t>₩12,505,000,000</t>
  </si>
  <si>
    <t>078130</t>
  </si>
  <si>
    <t>국일제지</t>
  </si>
  <si>
    <t>₩901,924,696,800</t>
  </si>
  <si>
    <t>187790</t>
  </si>
  <si>
    <t>나노</t>
  </si>
  <si>
    <t>₩31,611,850,750</t>
  </si>
  <si>
    <t>389650</t>
  </si>
  <si>
    <t>넥스트바이오메디컬</t>
  </si>
  <si>
    <t>₩15,322,209,957</t>
  </si>
  <si>
    <t>₩255,134,943,300</t>
  </si>
  <si>
    <t>106520</t>
  </si>
  <si>
    <t>노블엠앤비</t>
  </si>
  <si>
    <t>₩15,904,036,272</t>
  </si>
  <si>
    <t>214870</t>
  </si>
  <si>
    <t>한울BnC</t>
  </si>
  <si>
    <t>₩64,765,809,320</t>
  </si>
  <si>
    <t>065150</t>
  </si>
  <si>
    <t>대산F&amp;B</t>
  </si>
  <si>
    <t>₩18,165,948,725</t>
  </si>
  <si>
    <t>438220</t>
  </si>
  <si>
    <t>대신밸런스제13호스팩</t>
  </si>
  <si>
    <t>₩198,205,894</t>
  </si>
  <si>
    <t>₩14,692,200,000</t>
  </si>
  <si>
    <t>457390</t>
  </si>
  <si>
    <t>대신밸런스제15호스팩</t>
  </si>
  <si>
    <t>₩26,744,650</t>
  </si>
  <si>
    <t>₩16,778,475,000</t>
  </si>
  <si>
    <t>478780</t>
  </si>
  <si>
    <t>대신밸런스제18호스팩</t>
  </si>
  <si>
    <t>₩39,902,217</t>
  </si>
  <si>
    <t>₩16,215,500,000</t>
  </si>
  <si>
    <t>290380</t>
  </si>
  <si>
    <t>대유</t>
  </si>
  <si>
    <t>₩56,841,307,600</t>
  </si>
  <si>
    <t>032860</t>
  </si>
  <si>
    <t>더라미</t>
  </si>
  <si>
    <t>₩1,373,798,071</t>
  </si>
  <si>
    <t>₩64,148,630,444</t>
  </si>
  <si>
    <t>217620</t>
  </si>
  <si>
    <t>디딤이앤에프</t>
  </si>
  <si>
    <t>₩22,001,687,010</t>
  </si>
  <si>
    <t>196490</t>
  </si>
  <si>
    <t>디에이테크놀로지</t>
  </si>
  <si>
    <t>₩36,245,520,080</t>
  </si>
  <si>
    <t>279600</t>
  </si>
  <si>
    <t>미디어젠</t>
  </si>
  <si>
    <t>₩52,938,025,300</t>
  </si>
  <si>
    <t>412930</t>
  </si>
  <si>
    <t>미래에셋비전스팩1호</t>
  </si>
  <si>
    <t>₩401,790,281</t>
  </si>
  <si>
    <t>₩16,613,440,000</t>
  </si>
  <si>
    <t>482680</t>
  </si>
  <si>
    <t>미래에셋비전스팩7호</t>
  </si>
  <si>
    <t>₩109,464,519</t>
  </si>
  <si>
    <t>₩16,298,560,000</t>
  </si>
  <si>
    <t>199480</t>
  </si>
  <si>
    <t>뱅크웨어글로벌</t>
  </si>
  <si>
    <t>₩8,330,949,040</t>
  </si>
  <si>
    <t>₩73,943,990,160</t>
  </si>
  <si>
    <t>066410</t>
  </si>
  <si>
    <t>버킷스튜디오</t>
  </si>
  <si>
    <t>₩97,982,191,354</t>
  </si>
  <si>
    <t>121800</t>
  </si>
  <si>
    <t>비덴트</t>
  </si>
  <si>
    <t>₩256,309,348,520</t>
  </si>
  <si>
    <t>230980</t>
  </si>
  <si>
    <t>비유테크놀러지</t>
  </si>
  <si>
    <t>₩21,370,407,553</t>
  </si>
  <si>
    <t>238200</t>
  </si>
  <si>
    <t>비피도</t>
  </si>
  <si>
    <t>₩110,612,072</t>
  </si>
  <si>
    <t>₩30,756,800,000</t>
  </si>
  <si>
    <t>468510</t>
  </si>
  <si>
    <t>삼성스팩9호</t>
  </si>
  <si>
    <t>₩27,679,721</t>
  </si>
  <si>
    <t>₩22,321,000,000</t>
  </si>
  <si>
    <t>258830</t>
  </si>
  <si>
    <t>세종메디칼</t>
  </si>
  <si>
    <t>₩22,983,976,612</t>
  </si>
  <si>
    <t>222810</t>
  </si>
  <si>
    <t>세토피아</t>
  </si>
  <si>
    <t>₩81,712,098,000</t>
  </si>
  <si>
    <t>268600</t>
  </si>
  <si>
    <t>셀리버리</t>
  </si>
  <si>
    <t>₩248,384,003,120</t>
  </si>
  <si>
    <t>068940</t>
  </si>
  <si>
    <t>셀피글로벌</t>
  </si>
  <si>
    <t>₩29,766,744,466</t>
  </si>
  <si>
    <t>204630</t>
  </si>
  <si>
    <t>스튜디오산타클로스</t>
  </si>
  <si>
    <t>₩23,668,225,650</t>
  </si>
  <si>
    <t>269620</t>
  </si>
  <si>
    <t>시스웍</t>
  </si>
  <si>
    <t>₩132,090,012,299</t>
  </si>
  <si>
    <t>418250</t>
  </si>
  <si>
    <t>시큐레터</t>
  </si>
  <si>
    <t>₩52,279,100,100</t>
  </si>
  <si>
    <t>418210</t>
  </si>
  <si>
    <t>신한제10호스팩</t>
  </si>
  <si>
    <t>₩13,770,256</t>
  </si>
  <si>
    <t>₩8,216,700,000</t>
  </si>
  <si>
    <t>469750</t>
  </si>
  <si>
    <t>아이비젼웍스</t>
  </si>
  <si>
    <t>₩5,039,176,819</t>
  </si>
  <si>
    <t>₩56,504,240,865</t>
  </si>
  <si>
    <t>460470</t>
  </si>
  <si>
    <t>아이빔테크놀로지</t>
  </si>
  <si>
    <t>₩1,041,019,054</t>
  </si>
  <si>
    <t>₩66,672,915,400</t>
  </si>
  <si>
    <t>461300</t>
  </si>
  <si>
    <t>아이스크림미디어</t>
  </si>
  <si>
    <t>₩4,725,075,612</t>
  </si>
  <si>
    <t>₩197,780,375,620</t>
  </si>
  <si>
    <t>464500</t>
  </si>
  <si>
    <t>아이언디바이스</t>
  </si>
  <si>
    <t>₩2,842,789,475</t>
  </si>
  <si>
    <t>₩52,769,861,495</t>
  </si>
  <si>
    <t>096610</t>
  </si>
  <si>
    <t>알에프세미</t>
  </si>
  <si>
    <t>₩51,550,708,615</t>
  </si>
  <si>
    <t>117670</t>
  </si>
  <si>
    <t>알파홀딩스</t>
  </si>
  <si>
    <t>₩37,743,429,465</t>
  </si>
  <si>
    <t>299910</t>
  </si>
  <si>
    <t>애닉</t>
  </si>
  <si>
    <t>₩32,483,121,920</t>
  </si>
  <si>
    <t>263540</t>
  </si>
  <si>
    <t>어스앤에어로스페이스</t>
  </si>
  <si>
    <t>₩227,078,301</t>
  </si>
  <si>
    <t>₩242,999,547</t>
  </si>
  <si>
    <t>217480</t>
  </si>
  <si>
    <t>에스디생명공학</t>
  </si>
  <si>
    <t>₩54,756,837,359</t>
  </si>
  <si>
    <t>214310</t>
  </si>
  <si>
    <t>에스엘에너지</t>
  </si>
  <si>
    <t>₩22,516,275,600</t>
  </si>
  <si>
    <t>473950</t>
  </si>
  <si>
    <t>에스케이증권제13호스팩</t>
  </si>
  <si>
    <t>₩20,460,314</t>
  </si>
  <si>
    <t>₩9,127,300,000</t>
  </si>
  <si>
    <t>054630</t>
  </si>
  <si>
    <t>에이디칩스</t>
  </si>
  <si>
    <t>₩12,594,094,838</t>
  </si>
  <si>
    <t>295310</t>
  </si>
  <si>
    <t>에이치브이엠</t>
  </si>
  <si>
    <t>₩29,915,219,899</t>
  </si>
  <si>
    <t>₩329,683,488,700</t>
  </si>
  <si>
    <t>373110</t>
  </si>
  <si>
    <t>엑셀세라퓨틱스</t>
  </si>
  <si>
    <t>₩3,453,337,350</t>
  </si>
  <si>
    <t>₩56,994,371,640</t>
  </si>
  <si>
    <t>422040</t>
  </si>
  <si>
    <t>엔에이치스팩23호</t>
  </si>
  <si>
    <t>₩55,597,945</t>
  </si>
  <si>
    <t>₩15,143,400,000</t>
  </si>
  <si>
    <t>481890</t>
  </si>
  <si>
    <t>엔에이치스팩31호</t>
  </si>
  <si>
    <t>₩35,304,230</t>
  </si>
  <si>
    <t>₩12,848,625,000</t>
  </si>
  <si>
    <t>208860</t>
  </si>
  <si>
    <t>엔지스테크널러지</t>
  </si>
  <si>
    <t>₩41,831,348,265</t>
  </si>
  <si>
    <t>182400</t>
  </si>
  <si>
    <t>엔케이맥스</t>
  </si>
  <si>
    <t>₩172,748,038,620</t>
  </si>
  <si>
    <t>019590</t>
  </si>
  <si>
    <t>엠벤처투자</t>
  </si>
  <si>
    <t>₩104,963,185,182</t>
  </si>
  <si>
    <t>323230</t>
  </si>
  <si>
    <t>엠에프엠코리아</t>
  </si>
  <si>
    <t>₩6,967,193,212</t>
  </si>
  <si>
    <t>071460</t>
  </si>
  <si>
    <t>위니아</t>
  </si>
  <si>
    <t>₩22,047,951,835</t>
  </si>
  <si>
    <t>377460</t>
  </si>
  <si>
    <t>위니아에이드</t>
  </si>
  <si>
    <t>₩26,030,247,855</t>
  </si>
  <si>
    <t>088340</t>
  </si>
  <si>
    <t>유라클</t>
  </si>
  <si>
    <t>₩1,037,368,970</t>
  </si>
  <si>
    <t>₩45,335,811,960</t>
  </si>
  <si>
    <t>446150</t>
  </si>
  <si>
    <t>유안타제12호스팩</t>
  </si>
  <si>
    <t>₩60,331,995</t>
  </si>
  <si>
    <t>₩9,778,500,000</t>
  </si>
  <si>
    <t>462350</t>
  </si>
  <si>
    <t>이노스페이스</t>
  </si>
  <si>
    <t>₩6,686,537,445</t>
  </si>
  <si>
    <t>₩231,110,857,100</t>
  </si>
  <si>
    <t>164060</t>
  </si>
  <si>
    <t>이루다</t>
  </si>
  <si>
    <t>₩150,314,622,060</t>
  </si>
  <si>
    <t>478110</t>
  </si>
  <si>
    <t>이베스트스팩6호</t>
  </si>
  <si>
    <t>₩12,937,116</t>
  </si>
  <si>
    <t>₩10,090,200,000</t>
  </si>
  <si>
    <t>456070</t>
  </si>
  <si>
    <t>이엔셀</t>
  </si>
  <si>
    <t>₩34,615,926,624</t>
  </si>
  <si>
    <t>₩175,975,170,400</t>
  </si>
  <si>
    <t>160600</t>
  </si>
  <si>
    <t>이큐셀</t>
  </si>
  <si>
    <t>₩163,573,177,100</t>
  </si>
  <si>
    <t>096040</t>
  </si>
  <si>
    <t>이트론</t>
  </si>
  <si>
    <t>₩245,561,580,945</t>
  </si>
  <si>
    <t>024810</t>
  </si>
  <si>
    <t>이화전기</t>
  </si>
  <si>
    <t>₩196,834,827,360</t>
  </si>
  <si>
    <t>119610</t>
  </si>
  <si>
    <t>인터로조</t>
  </si>
  <si>
    <t>₩329,090,302,200</t>
  </si>
  <si>
    <t>150840</t>
  </si>
  <si>
    <t>인트로메딕</t>
  </si>
  <si>
    <t>₩251,537,720,850</t>
  </si>
  <si>
    <t>178780</t>
  </si>
  <si>
    <t>일월지엠엘</t>
  </si>
  <si>
    <t>₩124,120,536,750</t>
  </si>
  <si>
    <t>174880</t>
  </si>
  <si>
    <t>장원테크</t>
  </si>
  <si>
    <t>₩11,610,352,250</t>
  </si>
  <si>
    <t>072520</t>
  </si>
  <si>
    <t>제넨바이오</t>
  </si>
  <si>
    <t>₩28,849,482,466</t>
  </si>
  <si>
    <t>381620</t>
  </si>
  <si>
    <t>제닉스</t>
  </si>
  <si>
    <t>₩6,288,416,867</t>
  </si>
  <si>
    <t>₩110,409,160,000</t>
  </si>
  <si>
    <t>287410</t>
  </si>
  <si>
    <t>제이시스메디칼</t>
  </si>
  <si>
    <t>₩68,607,936</t>
  </si>
  <si>
    <t>₩976,429,289,700</t>
  </si>
  <si>
    <t>052670</t>
  </si>
  <si>
    <t>제일바이오</t>
  </si>
  <si>
    <t>₩60,588,453,120</t>
  </si>
  <si>
    <t>044060</t>
  </si>
  <si>
    <t>조광ILI</t>
  </si>
  <si>
    <t>₩70,075,958,688</t>
  </si>
  <si>
    <t>033340</t>
  </si>
  <si>
    <t>좋은사람들</t>
  </si>
  <si>
    <t>₩212,638,021</t>
  </si>
  <si>
    <t>₩55,940,471,966</t>
  </si>
  <si>
    <t>036180</t>
  </si>
  <si>
    <t>지더블유바이텍</t>
  </si>
  <si>
    <t>₩53,929,030,348</t>
  </si>
  <si>
    <t>351870</t>
  </si>
  <si>
    <t>차이커뮤니케이션</t>
  </si>
  <si>
    <t>₩3,767,922,657</t>
  </si>
  <si>
    <t>₩81,368,260,590</t>
  </si>
  <si>
    <t>047820</t>
  </si>
  <si>
    <t>초록뱀미디어</t>
  </si>
  <si>
    <t>₩132,051,222,000</t>
  </si>
  <si>
    <t>424140</t>
  </si>
  <si>
    <t>케이비제21호스팩</t>
  </si>
  <si>
    <t>₩16,692,150,000</t>
  </si>
  <si>
    <t>431190</t>
  </si>
  <si>
    <t>케이쓰리아이</t>
  </si>
  <si>
    <t>₩521,573,671</t>
  </si>
  <si>
    <t>₩40,127,329,120</t>
  </si>
  <si>
    <t>046070</t>
  </si>
  <si>
    <t>코다코</t>
  </si>
  <si>
    <t>₩146,172,317,160</t>
  </si>
  <si>
    <t>036690</t>
  </si>
  <si>
    <t>코맥스</t>
  </si>
  <si>
    <t>₩45,885,746,130</t>
  </si>
  <si>
    <t>082660</t>
  </si>
  <si>
    <t>코스나인</t>
  </si>
  <si>
    <t>₩47,827,617,120</t>
  </si>
  <si>
    <t>078940</t>
  </si>
  <si>
    <t>퀀타피아</t>
  </si>
  <si>
    <t>₩151,584,163,690</t>
  </si>
  <si>
    <t>413600</t>
  </si>
  <si>
    <t>키움제6호스팩</t>
  </si>
  <si>
    <t>₩148,166,346</t>
  </si>
  <si>
    <t>₩8,403,500,000</t>
  </si>
  <si>
    <t>433530</t>
  </si>
  <si>
    <t>키움제7호스팩</t>
  </si>
  <si>
    <t>₩103,875,790</t>
  </si>
  <si>
    <t>₩8,825,750,000</t>
  </si>
  <si>
    <t>073640</t>
  </si>
  <si>
    <t>테라사이언스</t>
  </si>
  <si>
    <t>₩62,514,162,216</t>
  </si>
  <si>
    <t>464280</t>
  </si>
  <si>
    <t>티디에스팜</t>
  </si>
  <si>
    <t>₩3,160,164,818</t>
  </si>
  <si>
    <t>₩74,157,300,000</t>
  </si>
  <si>
    <t>062860</t>
  </si>
  <si>
    <t>티엘아이</t>
  </si>
  <si>
    <t>₩139,833,554</t>
  </si>
  <si>
    <t>₩36,923,972,800</t>
  </si>
  <si>
    <t>208340</t>
  </si>
  <si>
    <t>파멥신</t>
  </si>
  <si>
    <t>₩233,786,229,820</t>
  </si>
  <si>
    <t>057880</t>
  </si>
  <si>
    <t>푸른소나무</t>
  </si>
  <si>
    <t>₩216,061,434,720</t>
  </si>
  <si>
    <t>151910</t>
  </si>
  <si>
    <t>퓨처코어</t>
  </si>
  <si>
    <t>₩121,645,902,080</t>
  </si>
  <si>
    <t>041590</t>
  </si>
  <si>
    <t>플래스크</t>
  </si>
  <si>
    <t>₩103,917,099,150</t>
  </si>
  <si>
    <t>460940</t>
  </si>
  <si>
    <t>피앤에스미캐닉스</t>
  </si>
  <si>
    <t>₩775,068,742</t>
  </si>
  <si>
    <t>₩64,523,247,800</t>
  </si>
  <si>
    <t>257370</t>
  </si>
  <si>
    <t>피엔티엠에스</t>
  </si>
  <si>
    <t>₩529,071,184</t>
  </si>
  <si>
    <t>₩43,204,294,755</t>
  </si>
  <si>
    <t>406760</t>
  </si>
  <si>
    <t>하나금융21호스팩</t>
  </si>
  <si>
    <t>₩223,664,123</t>
  </si>
  <si>
    <t>₩13,997,490,000</t>
  </si>
  <si>
    <t>418170</t>
  </si>
  <si>
    <t>하나금융22호스팩</t>
  </si>
  <si>
    <t>₩147,122,561</t>
  </si>
  <si>
    <t>₩12,951,550,000</t>
  </si>
  <si>
    <t>450330</t>
  </si>
  <si>
    <t>하스</t>
  </si>
  <si>
    <t>₩425,828,965</t>
  </si>
  <si>
    <t>₩64,725,434,340</t>
  </si>
  <si>
    <t>160190</t>
  </si>
  <si>
    <t>하이젠알앤엠</t>
  </si>
  <si>
    <t>₩3,816,350,629</t>
  </si>
  <si>
    <t>₩272,432,160,000</t>
  </si>
  <si>
    <t>219750</t>
  </si>
  <si>
    <t>한국비티비</t>
  </si>
  <si>
    <t>₩63,267,797,795</t>
  </si>
  <si>
    <t>080720</t>
  </si>
  <si>
    <t>한국유니온제약</t>
  </si>
  <si>
    <t>₩21,562,456,300</t>
  </si>
  <si>
    <t>477530</t>
  </si>
  <si>
    <t>한국제14호스팩</t>
  </si>
  <si>
    <t>₩10,942,750,000</t>
  </si>
  <si>
    <t>226440</t>
  </si>
  <si>
    <t>한송네오텍</t>
  </si>
  <si>
    <t>₩100,580,954,580</t>
  </si>
  <si>
    <t>430460</t>
  </si>
  <si>
    <t>한화플러스제3호스팩</t>
  </si>
  <si>
    <t>₩129,621,115</t>
  </si>
  <si>
    <t>₩12,136,000,000</t>
  </si>
  <si>
    <t>016790</t>
  </si>
  <si>
    <t>현대사료</t>
  </si>
  <si>
    <t>₩187,340,898,626</t>
  </si>
  <si>
    <t>215090</t>
  </si>
  <si>
    <t>휴센텍</t>
  </si>
  <si>
    <t>₩149,972,154,360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</si>
</sst>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713"/>
  <sheetViews>
    <sheetView tabSelected="1" workbookViewId="0"/>
  </sheetViews>
  <sheetFormatPr defaultRowHeight="16.5" x14ac:dyDescent="0.3"/>
  <cols>
    <col min="5" max="5" width="19.25" bestFit="1" customWidth="1"/>
    <col min="10" max="10" width="20.375" bestFit="1" customWidth="1"/>
  </cols>
  <sheetData>
    <row r="1" spans="1:3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</row>
    <row r="2" spans="1:33" x14ac:dyDescent="0.3">
      <c r="A2" t="s">
        <v>33</v>
      </c>
      <c r="B2" t="s">
        <v>34</v>
      </c>
      <c r="C2" t="s">
        <v>35</v>
      </c>
      <c r="D2">
        <v>83663.100000000006</v>
      </c>
      <c r="E2" t="s">
        <v>36</v>
      </c>
      <c r="F2">
        <v>8.0299999999999994</v>
      </c>
      <c r="G2">
        <v>0.33000001311302191</v>
      </c>
      <c r="H2">
        <v>71</v>
      </c>
      <c r="I2">
        <v>0</v>
      </c>
      <c r="J2" t="s">
        <v>37</v>
      </c>
      <c r="K2">
        <v>653</v>
      </c>
      <c r="L2">
        <v>570</v>
      </c>
      <c r="M2">
        <v>-12.71</v>
      </c>
      <c r="N2">
        <v>-0.52</v>
      </c>
      <c r="O2">
        <v>0</v>
      </c>
      <c r="P2">
        <v>-3.62</v>
      </c>
      <c r="Q2">
        <v>-1.44</v>
      </c>
      <c r="R2">
        <v>0</v>
      </c>
      <c r="S2">
        <v>-0.48</v>
      </c>
      <c r="T2">
        <v>0.59</v>
      </c>
      <c r="U2">
        <v>0.99</v>
      </c>
      <c r="V2">
        <v>1.83</v>
      </c>
      <c r="W2">
        <v>2.62</v>
      </c>
      <c r="X2">
        <v>0.78</v>
      </c>
      <c r="Y2">
        <v>0.97</v>
      </c>
      <c r="Z2">
        <v>0.88</v>
      </c>
      <c r="AA2">
        <v>0</v>
      </c>
      <c r="AB2">
        <v>1.98</v>
      </c>
      <c r="AC2">
        <v>0.55000000000000004</v>
      </c>
      <c r="AD2">
        <v>0</v>
      </c>
      <c r="AE2">
        <v>0.49</v>
      </c>
      <c r="AF2">
        <v>0.65</v>
      </c>
      <c r="AG2" t="str">
        <f>HYPERLINK("https://finance.naver.com/item/fchart.naver?code=001620", "케이비아이동국실업 차트보기")</f>
        <v>케이비아이동국실업 차트보기</v>
      </c>
    </row>
    <row r="3" spans="1:33" x14ac:dyDescent="0.3">
      <c r="A3" t="s">
        <v>38</v>
      </c>
      <c r="B3" t="s">
        <v>34</v>
      </c>
      <c r="C3" t="s">
        <v>39</v>
      </c>
      <c r="D3">
        <v>116257.67</v>
      </c>
      <c r="E3" t="s">
        <v>40</v>
      </c>
      <c r="F3">
        <v>37.53</v>
      </c>
      <c r="G3">
        <v>5.190000057220459</v>
      </c>
      <c r="H3">
        <v>2009</v>
      </c>
      <c r="I3">
        <v>0.12999999523162839</v>
      </c>
      <c r="J3" t="s">
        <v>41</v>
      </c>
      <c r="K3">
        <v>36700</v>
      </c>
      <c r="L3">
        <v>75400</v>
      </c>
      <c r="M3">
        <v>105.45</v>
      </c>
      <c r="N3">
        <v>-0.66</v>
      </c>
      <c r="O3">
        <v>2.92</v>
      </c>
      <c r="P3">
        <v>-9.23</v>
      </c>
      <c r="Q3">
        <v>5.38</v>
      </c>
      <c r="R3">
        <v>3.05</v>
      </c>
      <c r="S3">
        <v>2.2999999999999998</v>
      </c>
      <c r="T3">
        <v>5.34</v>
      </c>
      <c r="U3">
        <v>4.28</v>
      </c>
      <c r="V3">
        <v>6.21</v>
      </c>
      <c r="W3">
        <v>6.96</v>
      </c>
      <c r="X3">
        <v>6.38</v>
      </c>
      <c r="Y3">
        <v>5.68</v>
      </c>
      <c r="Z3">
        <v>0.12</v>
      </c>
      <c r="AA3">
        <v>0.68</v>
      </c>
      <c r="AB3">
        <v>1.49</v>
      </c>
      <c r="AC3">
        <v>0.77</v>
      </c>
      <c r="AD3">
        <v>0.48</v>
      </c>
      <c r="AE3">
        <v>0.4</v>
      </c>
      <c r="AF3">
        <v>0.65666666666666662</v>
      </c>
      <c r="AG3" t="str">
        <f>HYPERLINK("https://finance.naver.com/item/fchart.naver?code=003350", "한국화장품제조 차트보기")</f>
        <v>한국화장품제조 차트보기</v>
      </c>
    </row>
    <row r="4" spans="1:33" x14ac:dyDescent="0.3">
      <c r="A4" t="s">
        <v>42</v>
      </c>
      <c r="B4" t="s">
        <v>34</v>
      </c>
      <c r="C4" t="s">
        <v>43</v>
      </c>
      <c r="D4">
        <v>175917.95</v>
      </c>
      <c r="E4" t="s">
        <v>44</v>
      </c>
      <c r="F4">
        <v>8.18</v>
      </c>
      <c r="G4">
        <v>0.5</v>
      </c>
      <c r="H4">
        <v>354</v>
      </c>
      <c r="I4">
        <v>3.970000028610229</v>
      </c>
      <c r="J4" t="s">
        <v>45</v>
      </c>
      <c r="K4">
        <v>3165</v>
      </c>
      <c r="L4">
        <v>2895</v>
      </c>
      <c r="M4">
        <v>-8.5299999999999994</v>
      </c>
      <c r="N4">
        <v>1.05</v>
      </c>
      <c r="O4">
        <v>-1.53</v>
      </c>
      <c r="P4">
        <v>0.51</v>
      </c>
      <c r="Q4">
        <v>-3.86</v>
      </c>
      <c r="R4">
        <v>0.33</v>
      </c>
      <c r="S4">
        <v>0.32</v>
      </c>
      <c r="T4">
        <v>1.31</v>
      </c>
      <c r="U4">
        <v>1.48</v>
      </c>
      <c r="V4">
        <v>1.66</v>
      </c>
      <c r="W4">
        <v>2.78</v>
      </c>
      <c r="X4">
        <v>0.77</v>
      </c>
      <c r="Y4">
        <v>2.1</v>
      </c>
      <c r="Z4">
        <v>0.8</v>
      </c>
      <c r="AA4">
        <v>1.03</v>
      </c>
      <c r="AB4">
        <v>0.31</v>
      </c>
      <c r="AC4">
        <v>1.39</v>
      </c>
      <c r="AD4">
        <v>0.43</v>
      </c>
      <c r="AE4">
        <v>0.15</v>
      </c>
      <c r="AF4">
        <v>0.68500000000000005</v>
      </c>
      <c r="AG4" t="str">
        <f>HYPERLINK("https://finance.naver.com/item/fchart.naver?code=001790", "대한제당 차트보기")</f>
        <v>대한제당 차트보기</v>
      </c>
    </row>
    <row r="5" spans="1:33" x14ac:dyDescent="0.3">
      <c r="A5" t="s">
        <v>46</v>
      </c>
      <c r="B5" t="s">
        <v>34</v>
      </c>
      <c r="C5" t="s">
        <v>47</v>
      </c>
      <c r="D5">
        <v>25333.14</v>
      </c>
      <c r="E5" t="s">
        <v>48</v>
      </c>
      <c r="F5">
        <v>5.88</v>
      </c>
      <c r="G5">
        <v>0.239999994635582</v>
      </c>
      <c r="H5">
        <v>898</v>
      </c>
      <c r="I5">
        <v>0</v>
      </c>
      <c r="J5" t="s">
        <v>49</v>
      </c>
      <c r="K5">
        <v>5460</v>
      </c>
      <c r="L5">
        <v>5280</v>
      </c>
      <c r="M5">
        <v>-3.3</v>
      </c>
      <c r="N5">
        <v>0.38</v>
      </c>
      <c r="O5">
        <v>0</v>
      </c>
      <c r="P5">
        <v>0</v>
      </c>
      <c r="Q5">
        <v>0.96</v>
      </c>
      <c r="R5">
        <v>-6.02</v>
      </c>
      <c r="S5">
        <v>3.6</v>
      </c>
      <c r="T5">
        <v>0.72</v>
      </c>
      <c r="U5">
        <v>0.75</v>
      </c>
      <c r="V5">
        <v>0.54</v>
      </c>
      <c r="W5">
        <v>1.25</v>
      </c>
      <c r="X5">
        <v>2.94</v>
      </c>
      <c r="Y5">
        <v>3.22</v>
      </c>
      <c r="Z5">
        <v>0.53</v>
      </c>
      <c r="AA5">
        <v>0</v>
      </c>
      <c r="AB5">
        <v>0</v>
      </c>
      <c r="AC5">
        <v>0.77</v>
      </c>
      <c r="AD5">
        <v>2.0499999999999998</v>
      </c>
      <c r="AE5">
        <v>1.1200000000000001</v>
      </c>
      <c r="AF5">
        <v>0.745</v>
      </c>
      <c r="AG5" t="str">
        <f>HYPERLINK("https://finance.naver.com/item/fchart.naver?code=085620", "미래에셋생명 차트보기")</f>
        <v>미래에셋생명 차트보기</v>
      </c>
    </row>
    <row r="6" spans="1:33" x14ac:dyDescent="0.3">
      <c r="A6" t="s">
        <v>50</v>
      </c>
      <c r="B6" t="s">
        <v>34</v>
      </c>
      <c r="C6" t="s">
        <v>51</v>
      </c>
      <c r="D6">
        <v>59846.9</v>
      </c>
      <c r="E6" t="s">
        <v>52</v>
      </c>
      <c r="F6">
        <v>25.8</v>
      </c>
      <c r="G6">
        <v>0.61000001430511475</v>
      </c>
      <c r="H6">
        <v>250</v>
      </c>
      <c r="I6">
        <v>0.93000000715255737</v>
      </c>
      <c r="J6" t="s">
        <v>53</v>
      </c>
      <c r="K6">
        <v>7280</v>
      </c>
      <c r="L6">
        <v>6450</v>
      </c>
      <c r="M6">
        <v>-11.4</v>
      </c>
      <c r="N6">
        <v>0.31</v>
      </c>
      <c r="O6">
        <v>-0.15</v>
      </c>
      <c r="P6">
        <v>-0.45</v>
      </c>
      <c r="Q6">
        <v>-6.51</v>
      </c>
      <c r="R6">
        <v>-0.84</v>
      </c>
      <c r="S6">
        <v>0</v>
      </c>
      <c r="T6">
        <v>1.1000000000000001</v>
      </c>
      <c r="U6">
        <v>0.84</v>
      </c>
      <c r="V6">
        <v>1.34</v>
      </c>
      <c r="W6">
        <v>2.17</v>
      </c>
      <c r="X6">
        <v>0.88</v>
      </c>
      <c r="Y6">
        <v>0.73</v>
      </c>
      <c r="Z6">
        <v>0.28000000000000003</v>
      </c>
      <c r="AA6">
        <v>0.18</v>
      </c>
      <c r="AB6">
        <v>0.34</v>
      </c>
      <c r="AC6">
        <v>3</v>
      </c>
      <c r="AD6">
        <v>0.95</v>
      </c>
      <c r="AE6">
        <v>0</v>
      </c>
      <c r="AF6">
        <v>0.79166666666666663</v>
      </c>
      <c r="AG6" t="str">
        <f>HYPERLINK("https://finance.naver.com/item/fchart.naver?code=025860", "남해화학 차트보기")</f>
        <v>남해화학 차트보기</v>
      </c>
    </row>
    <row r="7" spans="1:33" x14ac:dyDescent="0.3">
      <c r="A7" t="s">
        <v>54</v>
      </c>
      <c r="B7" t="s">
        <v>55</v>
      </c>
      <c r="C7" t="s">
        <v>56</v>
      </c>
      <c r="D7">
        <v>391.38</v>
      </c>
      <c r="E7" t="s">
        <v>57</v>
      </c>
      <c r="F7">
        <v>0</v>
      </c>
      <c r="G7">
        <v>0</v>
      </c>
      <c r="H7">
        <v>0</v>
      </c>
      <c r="I7">
        <v>0</v>
      </c>
      <c r="J7" t="s">
        <v>58</v>
      </c>
      <c r="K7">
        <v>9730</v>
      </c>
      <c r="L7">
        <v>7920</v>
      </c>
      <c r="M7">
        <v>-18.600000000000001</v>
      </c>
      <c r="N7">
        <v>0.51</v>
      </c>
      <c r="O7">
        <v>0.51</v>
      </c>
      <c r="P7">
        <v>0.9</v>
      </c>
      <c r="Q7">
        <v>-4.41</v>
      </c>
      <c r="R7">
        <v>13.19</v>
      </c>
      <c r="S7">
        <v>-5.35</v>
      </c>
      <c r="T7">
        <v>2.2200000000000002</v>
      </c>
      <c r="U7">
        <v>1.54</v>
      </c>
      <c r="V7">
        <v>6.7</v>
      </c>
      <c r="W7">
        <v>5.09</v>
      </c>
      <c r="X7">
        <v>8.3800000000000008</v>
      </c>
      <c r="Y7">
        <v>2.94</v>
      </c>
      <c r="Z7">
        <v>0.23</v>
      </c>
      <c r="AA7">
        <v>0.33</v>
      </c>
      <c r="AB7">
        <v>0.13</v>
      </c>
      <c r="AC7">
        <v>0.87</v>
      </c>
      <c r="AD7">
        <v>1.57</v>
      </c>
      <c r="AE7">
        <v>1.82</v>
      </c>
      <c r="AF7">
        <v>0.82500000000000007</v>
      </c>
      <c r="AG7" t="str">
        <f>HYPERLINK("https://finance.naver.com/item/fchart.naver?code=032685", "소프트센우 차트보기")</f>
        <v>소프트센우 차트보기</v>
      </c>
    </row>
    <row r="8" spans="1:33" x14ac:dyDescent="0.3">
      <c r="A8" t="s">
        <v>59</v>
      </c>
      <c r="B8" t="s">
        <v>34</v>
      </c>
      <c r="C8" t="s">
        <v>60</v>
      </c>
      <c r="D8">
        <v>7409.14</v>
      </c>
      <c r="E8" t="s">
        <v>61</v>
      </c>
      <c r="F8">
        <v>6.18</v>
      </c>
      <c r="G8">
        <v>0.41999998688697809</v>
      </c>
      <c r="H8">
        <v>418</v>
      </c>
      <c r="I8">
        <v>4.2600002288818359</v>
      </c>
      <c r="J8" t="s">
        <v>62</v>
      </c>
      <c r="K8">
        <v>2780</v>
      </c>
      <c r="L8">
        <v>2585</v>
      </c>
      <c r="M8">
        <v>-7.01</v>
      </c>
      <c r="N8">
        <v>0.57999999999999996</v>
      </c>
      <c r="O8">
        <v>0.78</v>
      </c>
      <c r="P8">
        <v>-0.57999999999999996</v>
      </c>
      <c r="Q8">
        <v>-2.41</v>
      </c>
      <c r="R8">
        <v>-1.28</v>
      </c>
      <c r="S8">
        <v>-0.18</v>
      </c>
      <c r="T8">
        <v>0.61</v>
      </c>
      <c r="U8">
        <v>0.89</v>
      </c>
      <c r="V8">
        <v>1.08</v>
      </c>
      <c r="W8">
        <v>1.99</v>
      </c>
      <c r="X8">
        <v>1</v>
      </c>
      <c r="Y8">
        <v>0.73</v>
      </c>
      <c r="Z8">
        <v>0.95</v>
      </c>
      <c r="AA8">
        <v>0.88</v>
      </c>
      <c r="AB8">
        <v>0.54</v>
      </c>
      <c r="AC8">
        <v>1.21</v>
      </c>
      <c r="AD8">
        <v>1.28</v>
      </c>
      <c r="AE8">
        <v>0.25</v>
      </c>
      <c r="AF8">
        <v>0.85166666666666668</v>
      </c>
      <c r="AG8" t="str">
        <f>HYPERLINK("https://finance.naver.com/item/fchart.naver?code=023000", "삼원강재 차트보기")</f>
        <v>삼원강재 차트보기</v>
      </c>
    </row>
    <row r="9" spans="1:33" x14ac:dyDescent="0.3">
      <c r="A9" t="s">
        <v>63</v>
      </c>
      <c r="B9" t="s">
        <v>55</v>
      </c>
      <c r="C9" t="s">
        <v>64</v>
      </c>
      <c r="D9">
        <v>57681.9</v>
      </c>
      <c r="E9" t="s">
        <v>65</v>
      </c>
      <c r="F9">
        <v>0</v>
      </c>
      <c r="G9">
        <v>1.080000042915344</v>
      </c>
      <c r="H9">
        <v>0</v>
      </c>
      <c r="I9">
        <v>0</v>
      </c>
      <c r="J9" t="s">
        <v>66</v>
      </c>
      <c r="K9">
        <v>2810</v>
      </c>
      <c r="L9">
        <v>2630</v>
      </c>
      <c r="M9">
        <v>-6.41</v>
      </c>
      <c r="N9">
        <v>0</v>
      </c>
      <c r="O9">
        <v>-5.45</v>
      </c>
      <c r="P9">
        <v>0</v>
      </c>
      <c r="Q9">
        <v>-1.62</v>
      </c>
      <c r="R9">
        <v>4.2699999999999996</v>
      </c>
      <c r="S9">
        <v>-2.6</v>
      </c>
      <c r="T9">
        <v>1.75</v>
      </c>
      <c r="U9">
        <v>1.65</v>
      </c>
      <c r="V9">
        <v>2.38</v>
      </c>
      <c r="W9">
        <v>5.84</v>
      </c>
      <c r="X9">
        <v>4.95</v>
      </c>
      <c r="Y9">
        <v>3.57</v>
      </c>
      <c r="Z9">
        <v>0</v>
      </c>
      <c r="AA9">
        <v>3.3</v>
      </c>
      <c r="AB9">
        <v>0</v>
      </c>
      <c r="AC9">
        <v>0.28000000000000003</v>
      </c>
      <c r="AD9">
        <v>0.86</v>
      </c>
      <c r="AE9">
        <v>0.73</v>
      </c>
      <c r="AF9">
        <v>0.86166666666666669</v>
      </c>
      <c r="AG9" t="str">
        <f>HYPERLINK("https://finance.naver.com/item/fchart.naver?code=064240", "홈캐스트 차트보기")</f>
        <v>홈캐스트 차트보기</v>
      </c>
    </row>
    <row r="10" spans="1:33" x14ac:dyDescent="0.3">
      <c r="A10" t="s">
        <v>67</v>
      </c>
      <c r="B10" t="s">
        <v>55</v>
      </c>
      <c r="C10" t="s">
        <v>68</v>
      </c>
      <c r="D10">
        <v>61292.19</v>
      </c>
      <c r="E10" t="s">
        <v>69</v>
      </c>
      <c r="F10">
        <v>8.59</v>
      </c>
      <c r="G10">
        <v>0.85000002384185791</v>
      </c>
      <c r="H10">
        <v>2380</v>
      </c>
      <c r="I10">
        <v>1.200000047683716</v>
      </c>
      <c r="J10" t="s">
        <v>70</v>
      </c>
      <c r="K10">
        <v>23000</v>
      </c>
      <c r="L10">
        <v>20450</v>
      </c>
      <c r="M10">
        <v>-11.09</v>
      </c>
      <c r="N10">
        <v>-2.15</v>
      </c>
      <c r="O10">
        <v>-1.88</v>
      </c>
      <c r="P10">
        <v>0.23</v>
      </c>
      <c r="Q10">
        <v>2.41</v>
      </c>
      <c r="R10">
        <v>0.49</v>
      </c>
      <c r="S10">
        <v>-2.15</v>
      </c>
      <c r="T10">
        <v>1.94</v>
      </c>
      <c r="U10">
        <v>1.65</v>
      </c>
      <c r="V10">
        <v>1.53</v>
      </c>
      <c r="W10">
        <v>3.06</v>
      </c>
      <c r="X10">
        <v>1.26</v>
      </c>
      <c r="Y10">
        <v>1.21</v>
      </c>
      <c r="Z10">
        <v>1.1100000000000001</v>
      </c>
      <c r="AA10">
        <v>1.1399999999999999</v>
      </c>
      <c r="AB10">
        <v>0.15</v>
      </c>
      <c r="AC10">
        <v>0.79</v>
      </c>
      <c r="AD10">
        <v>0.39</v>
      </c>
      <c r="AE10">
        <v>1.78</v>
      </c>
      <c r="AF10">
        <v>0.89333333333333342</v>
      </c>
      <c r="AG10" t="str">
        <f>HYPERLINK("https://finance.naver.com/item/fchart.naver?code=095660", "네오위즈 차트보기")</f>
        <v>네오위즈 차트보기</v>
      </c>
    </row>
    <row r="11" spans="1:33" x14ac:dyDescent="0.3">
      <c r="A11" t="s">
        <v>71</v>
      </c>
      <c r="B11" t="s">
        <v>55</v>
      </c>
      <c r="C11" t="s">
        <v>72</v>
      </c>
      <c r="D11">
        <v>5242.33</v>
      </c>
      <c r="E11" t="s">
        <v>73</v>
      </c>
      <c r="F11">
        <v>2.09</v>
      </c>
      <c r="G11">
        <v>0.27000001072883612</v>
      </c>
      <c r="H11">
        <v>3970</v>
      </c>
      <c r="I11">
        <v>2.410000085830688</v>
      </c>
      <c r="J11" t="s">
        <v>74</v>
      </c>
      <c r="K11">
        <v>8170</v>
      </c>
      <c r="L11">
        <v>8310</v>
      </c>
      <c r="M11">
        <v>1.71</v>
      </c>
      <c r="N11">
        <v>0.85</v>
      </c>
      <c r="O11">
        <v>0.6</v>
      </c>
      <c r="P11">
        <v>0.12</v>
      </c>
      <c r="Q11">
        <v>0.97</v>
      </c>
      <c r="R11">
        <v>-0.24</v>
      </c>
      <c r="S11">
        <v>0.61</v>
      </c>
      <c r="T11">
        <v>1.01</v>
      </c>
      <c r="U11">
        <v>0.27</v>
      </c>
      <c r="V11">
        <v>0.7</v>
      </c>
      <c r="W11">
        <v>1.2</v>
      </c>
      <c r="X11">
        <v>0.6</v>
      </c>
      <c r="Y11">
        <v>0.66</v>
      </c>
      <c r="Z11">
        <v>0.84</v>
      </c>
      <c r="AA11">
        <v>2.2200000000000002</v>
      </c>
      <c r="AB11">
        <v>0.17</v>
      </c>
      <c r="AC11">
        <v>0.81</v>
      </c>
      <c r="AD11">
        <v>0.4</v>
      </c>
      <c r="AE11">
        <v>0.92</v>
      </c>
      <c r="AF11">
        <v>0.89333333333333342</v>
      </c>
      <c r="AG11" t="str">
        <f>HYPERLINK("https://finance.naver.com/item/fchart.naver?code=005990", "매일홀딩스 차트보기")</f>
        <v>매일홀딩스 차트보기</v>
      </c>
    </row>
    <row r="12" spans="1:33" x14ac:dyDescent="0.3">
      <c r="A12" t="s">
        <v>75</v>
      </c>
      <c r="B12" t="s">
        <v>34</v>
      </c>
      <c r="C12" t="s">
        <v>76</v>
      </c>
      <c r="D12">
        <v>2049.4299999999998</v>
      </c>
      <c r="E12" t="s">
        <v>77</v>
      </c>
      <c r="F12">
        <v>0</v>
      </c>
      <c r="G12">
        <v>0</v>
      </c>
      <c r="H12">
        <v>0</v>
      </c>
      <c r="I12">
        <v>3.9300000667572021</v>
      </c>
      <c r="J12" t="s">
        <v>78</v>
      </c>
      <c r="K12">
        <v>7600</v>
      </c>
      <c r="L12">
        <v>7770</v>
      </c>
      <c r="M12">
        <v>2.2400000000000002</v>
      </c>
      <c r="N12">
        <v>-0.77</v>
      </c>
      <c r="O12">
        <v>-0.9</v>
      </c>
      <c r="P12">
        <v>-0.25</v>
      </c>
      <c r="Q12">
        <v>0.76</v>
      </c>
      <c r="R12">
        <v>2.3199999999999998</v>
      </c>
      <c r="S12">
        <v>0.65</v>
      </c>
      <c r="T12">
        <v>0.78</v>
      </c>
      <c r="U12">
        <v>0.78</v>
      </c>
      <c r="V12">
        <v>1.05</v>
      </c>
      <c r="W12">
        <v>1.7</v>
      </c>
      <c r="X12">
        <v>1.21</v>
      </c>
      <c r="Y12">
        <v>1.06</v>
      </c>
      <c r="Z12">
        <v>0.99</v>
      </c>
      <c r="AA12">
        <v>1.1499999999999999</v>
      </c>
      <c r="AB12">
        <v>0.24</v>
      </c>
      <c r="AC12">
        <v>0.45</v>
      </c>
      <c r="AD12">
        <v>1.92</v>
      </c>
      <c r="AE12">
        <v>0.61</v>
      </c>
      <c r="AF12">
        <v>0.89333333333333342</v>
      </c>
      <c r="AG12" t="str">
        <f>HYPERLINK("https://finance.naver.com/item/fchart.naver?code=004365", "세방우 차트보기")</f>
        <v>세방우 차트보기</v>
      </c>
    </row>
    <row r="13" spans="1:33" x14ac:dyDescent="0.3">
      <c r="A13" t="s">
        <v>79</v>
      </c>
      <c r="B13" t="s">
        <v>34</v>
      </c>
      <c r="C13" t="s">
        <v>80</v>
      </c>
      <c r="D13">
        <v>1113.3800000000001</v>
      </c>
      <c r="E13" t="s">
        <v>81</v>
      </c>
      <c r="F13">
        <v>7.3</v>
      </c>
      <c r="G13">
        <v>0.64999997615814209</v>
      </c>
      <c r="H13">
        <v>12933</v>
      </c>
      <c r="I13">
        <v>0.52999997138977051</v>
      </c>
      <c r="J13" t="s">
        <v>82</v>
      </c>
      <c r="K13">
        <v>99300</v>
      </c>
      <c r="L13">
        <v>94400</v>
      </c>
      <c r="M13">
        <v>-4.93</v>
      </c>
      <c r="N13">
        <v>-0.32</v>
      </c>
      <c r="O13">
        <v>-0.11</v>
      </c>
      <c r="P13">
        <v>0.32</v>
      </c>
      <c r="Q13">
        <v>-2.38</v>
      </c>
      <c r="R13">
        <v>-1.1299999999999999</v>
      </c>
      <c r="S13">
        <v>1.24</v>
      </c>
      <c r="T13">
        <v>0.45</v>
      </c>
      <c r="U13">
        <v>0.65</v>
      </c>
      <c r="V13">
        <v>0.73</v>
      </c>
      <c r="W13">
        <v>1.81</v>
      </c>
      <c r="X13">
        <v>1</v>
      </c>
      <c r="Y13">
        <v>0.76</v>
      </c>
      <c r="Z13">
        <v>0.71</v>
      </c>
      <c r="AA13">
        <v>0.17</v>
      </c>
      <c r="AB13">
        <v>0.44</v>
      </c>
      <c r="AC13">
        <v>1.31</v>
      </c>
      <c r="AD13">
        <v>1.1299999999999999</v>
      </c>
      <c r="AE13">
        <v>1.63</v>
      </c>
      <c r="AF13">
        <v>0.89833333333333332</v>
      </c>
      <c r="AG13" t="str">
        <f>HYPERLINK("https://finance.naver.com/item/fchart.naver?code=120030", "조선선재 차트보기")</f>
        <v>조선선재 차트보기</v>
      </c>
    </row>
    <row r="14" spans="1:33" x14ac:dyDescent="0.3">
      <c r="A14" t="s">
        <v>83</v>
      </c>
      <c r="B14" t="s">
        <v>55</v>
      </c>
      <c r="C14" t="s">
        <v>84</v>
      </c>
      <c r="D14">
        <v>25875.29</v>
      </c>
      <c r="E14" t="s">
        <v>85</v>
      </c>
      <c r="F14">
        <v>0</v>
      </c>
      <c r="G14">
        <v>1.6499999761581421</v>
      </c>
      <c r="H14">
        <v>0</v>
      </c>
      <c r="I14">
        <v>0</v>
      </c>
      <c r="J14" t="s">
        <v>86</v>
      </c>
      <c r="K14">
        <v>2770</v>
      </c>
      <c r="L14">
        <v>2435</v>
      </c>
      <c r="M14">
        <v>-12.09</v>
      </c>
      <c r="N14">
        <v>0</v>
      </c>
      <c r="O14">
        <v>-2.17</v>
      </c>
      <c r="P14">
        <v>5.51</v>
      </c>
      <c r="Q14">
        <v>-3.37</v>
      </c>
      <c r="R14">
        <v>-0.79</v>
      </c>
      <c r="S14">
        <v>-2.91</v>
      </c>
      <c r="T14">
        <v>1.48</v>
      </c>
      <c r="U14">
        <v>1.84</v>
      </c>
      <c r="V14">
        <v>3.53</v>
      </c>
      <c r="W14">
        <v>3.96</v>
      </c>
      <c r="X14">
        <v>2.04</v>
      </c>
      <c r="Y14">
        <v>2.0099999999999998</v>
      </c>
      <c r="Z14">
        <v>0</v>
      </c>
      <c r="AA14">
        <v>1.18</v>
      </c>
      <c r="AB14">
        <v>1.56</v>
      </c>
      <c r="AC14">
        <v>0.85</v>
      </c>
      <c r="AD14">
        <v>0.39</v>
      </c>
      <c r="AE14">
        <v>1.45</v>
      </c>
      <c r="AF14">
        <v>0.90500000000000014</v>
      </c>
      <c r="AG14" t="str">
        <f>HYPERLINK("https://finance.naver.com/item/fchart.naver?code=073190", "듀오백 차트보기")</f>
        <v>듀오백 차트보기</v>
      </c>
    </row>
    <row r="15" spans="1:33" x14ac:dyDescent="0.3">
      <c r="A15" t="s">
        <v>87</v>
      </c>
      <c r="B15" t="s">
        <v>34</v>
      </c>
      <c r="C15" t="s">
        <v>88</v>
      </c>
      <c r="D15">
        <v>337.05</v>
      </c>
      <c r="E15" t="s">
        <v>89</v>
      </c>
      <c r="F15">
        <v>7.4</v>
      </c>
      <c r="G15">
        <v>1.1000000238418579</v>
      </c>
      <c r="H15">
        <v>10763</v>
      </c>
      <c r="I15">
        <v>4.3899998664855957</v>
      </c>
      <c r="J15" t="s">
        <v>90</v>
      </c>
      <c r="K15">
        <v>75900</v>
      </c>
      <c r="L15">
        <v>79700</v>
      </c>
      <c r="M15">
        <v>5.01</v>
      </c>
      <c r="N15">
        <v>0.13</v>
      </c>
      <c r="O15">
        <v>-0.75</v>
      </c>
      <c r="P15">
        <v>-0.12</v>
      </c>
      <c r="Q15">
        <v>-1.37</v>
      </c>
      <c r="R15">
        <v>-0.37</v>
      </c>
      <c r="S15">
        <v>1.39</v>
      </c>
      <c r="T15">
        <v>0.5</v>
      </c>
      <c r="U15">
        <v>0.57999999999999996</v>
      </c>
      <c r="V15">
        <v>0.47</v>
      </c>
      <c r="W15">
        <v>1.1399999999999999</v>
      </c>
      <c r="X15">
        <v>0.54</v>
      </c>
      <c r="Y15">
        <v>0.78</v>
      </c>
      <c r="Z15">
        <v>0.26</v>
      </c>
      <c r="AA15">
        <v>1.29</v>
      </c>
      <c r="AB15">
        <v>0.26</v>
      </c>
      <c r="AC15">
        <v>1.2</v>
      </c>
      <c r="AD15">
        <v>0.69</v>
      </c>
      <c r="AE15">
        <v>1.78</v>
      </c>
      <c r="AF15">
        <v>0.91333333333333322</v>
      </c>
      <c r="AG15" t="str">
        <f>HYPERLINK("https://finance.naver.com/item/fchart.naver?code=134380", "미원화학 차트보기")</f>
        <v>미원화학 차트보기</v>
      </c>
    </row>
    <row r="16" spans="1:33" x14ac:dyDescent="0.3">
      <c r="A16" t="s">
        <v>91</v>
      </c>
      <c r="B16" t="s">
        <v>34</v>
      </c>
      <c r="C16" t="s">
        <v>92</v>
      </c>
      <c r="D16">
        <v>162298.23999999999</v>
      </c>
      <c r="E16" t="s">
        <v>93</v>
      </c>
      <c r="F16">
        <v>0.4</v>
      </c>
      <c r="G16">
        <v>0.2800000011920929</v>
      </c>
      <c r="H16">
        <v>12056</v>
      </c>
      <c r="I16">
        <v>4.1399998664855957</v>
      </c>
      <c r="J16" t="s">
        <v>94</v>
      </c>
      <c r="K16">
        <v>4740</v>
      </c>
      <c r="L16">
        <v>4830</v>
      </c>
      <c r="M16">
        <v>1.9</v>
      </c>
      <c r="N16">
        <v>9.2799999999999994</v>
      </c>
      <c r="O16">
        <v>0.45</v>
      </c>
      <c r="P16">
        <v>0.33</v>
      </c>
      <c r="Q16">
        <v>4.41</v>
      </c>
      <c r="R16">
        <v>0</v>
      </c>
      <c r="S16">
        <v>-2.17</v>
      </c>
      <c r="T16">
        <v>3.85</v>
      </c>
      <c r="U16">
        <v>1.38</v>
      </c>
      <c r="V16">
        <v>3.52</v>
      </c>
      <c r="W16">
        <v>2.77</v>
      </c>
      <c r="X16">
        <v>1.87</v>
      </c>
      <c r="Y16">
        <v>1.89</v>
      </c>
      <c r="Z16">
        <v>2.41</v>
      </c>
      <c r="AA16">
        <v>0.33</v>
      </c>
      <c r="AB16">
        <v>0.09</v>
      </c>
      <c r="AC16">
        <v>1.59</v>
      </c>
      <c r="AD16">
        <v>0</v>
      </c>
      <c r="AE16">
        <v>1.1499999999999999</v>
      </c>
      <c r="AF16">
        <v>0.92833333333333334</v>
      </c>
      <c r="AG16" t="str">
        <f>HYPERLINK("https://finance.naver.com/item/fchart.naver?code=005440", "현대지에프홀딩스 차트보기")</f>
        <v>현대지에프홀딩스 차트보기</v>
      </c>
    </row>
    <row r="17" spans="1:33" x14ac:dyDescent="0.3">
      <c r="A17" t="s">
        <v>95</v>
      </c>
      <c r="B17" t="s">
        <v>55</v>
      </c>
      <c r="C17" t="s">
        <v>96</v>
      </c>
      <c r="D17">
        <v>43670.1</v>
      </c>
      <c r="E17" t="s">
        <v>97</v>
      </c>
      <c r="F17">
        <v>3.26</v>
      </c>
      <c r="G17">
        <v>0.25999999046325678</v>
      </c>
      <c r="H17">
        <v>1784</v>
      </c>
      <c r="I17">
        <v>3.0099999904632568</v>
      </c>
      <c r="J17" t="s">
        <v>98</v>
      </c>
      <c r="K17">
        <v>6620</v>
      </c>
      <c r="L17">
        <v>5820</v>
      </c>
      <c r="M17">
        <v>-12.08</v>
      </c>
      <c r="N17">
        <v>-0.51</v>
      </c>
      <c r="O17">
        <v>-1</v>
      </c>
      <c r="P17">
        <v>-0.85</v>
      </c>
      <c r="Q17">
        <v>-5.59</v>
      </c>
      <c r="R17">
        <v>-0.79</v>
      </c>
      <c r="S17">
        <v>0.32</v>
      </c>
      <c r="T17">
        <v>0.83</v>
      </c>
      <c r="U17">
        <v>1.04</v>
      </c>
      <c r="V17">
        <v>1.24</v>
      </c>
      <c r="W17">
        <v>2.4900000000000002</v>
      </c>
      <c r="X17">
        <v>0.86</v>
      </c>
      <c r="Y17">
        <v>1.32</v>
      </c>
      <c r="Z17">
        <v>0.61</v>
      </c>
      <c r="AA17">
        <v>0.96</v>
      </c>
      <c r="AB17">
        <v>0.69</v>
      </c>
      <c r="AC17">
        <v>2.2400000000000002</v>
      </c>
      <c r="AD17">
        <v>0.92</v>
      </c>
      <c r="AE17">
        <v>0.24</v>
      </c>
      <c r="AF17">
        <v>0.94333333333333336</v>
      </c>
      <c r="AG17" t="str">
        <f>HYPERLINK("https://finance.naver.com/item/fchart.naver?code=005710", "대원산업 차트보기")</f>
        <v>대원산업 차트보기</v>
      </c>
    </row>
    <row r="18" spans="1:33" x14ac:dyDescent="0.3">
      <c r="A18" t="s">
        <v>99</v>
      </c>
      <c r="B18" t="s">
        <v>55</v>
      </c>
      <c r="C18" t="s">
        <v>100</v>
      </c>
      <c r="D18">
        <v>38752.519999999997</v>
      </c>
      <c r="E18" t="s">
        <v>101</v>
      </c>
      <c r="F18">
        <v>5.94</v>
      </c>
      <c r="G18">
        <v>0.60000002384185791</v>
      </c>
      <c r="H18">
        <v>1180</v>
      </c>
      <c r="I18">
        <v>2.4300000667572021</v>
      </c>
      <c r="J18" t="s">
        <v>102</v>
      </c>
      <c r="K18">
        <v>7250</v>
      </c>
      <c r="L18">
        <v>7010</v>
      </c>
      <c r="M18">
        <v>-3.31</v>
      </c>
      <c r="N18">
        <v>-1.68</v>
      </c>
      <c r="O18">
        <v>0.28000000000000003</v>
      </c>
      <c r="P18">
        <v>-1.21</v>
      </c>
      <c r="Q18">
        <v>-2.7</v>
      </c>
      <c r="R18">
        <v>3.87</v>
      </c>
      <c r="S18">
        <v>-2.13</v>
      </c>
      <c r="T18">
        <v>2.35</v>
      </c>
      <c r="U18">
        <v>1.1599999999999999</v>
      </c>
      <c r="V18">
        <v>1.63</v>
      </c>
      <c r="W18">
        <v>3.5</v>
      </c>
      <c r="X18">
        <v>1.6</v>
      </c>
      <c r="Y18">
        <v>2.7</v>
      </c>
      <c r="Z18">
        <v>0.71</v>
      </c>
      <c r="AA18">
        <v>0.24</v>
      </c>
      <c r="AB18">
        <v>0.74</v>
      </c>
      <c r="AC18">
        <v>0.77</v>
      </c>
      <c r="AD18">
        <v>2.42</v>
      </c>
      <c r="AE18">
        <v>0.79</v>
      </c>
      <c r="AF18">
        <v>0.94499999999999995</v>
      </c>
      <c r="AG18" t="str">
        <f>HYPERLINK("https://finance.naver.com/item/fchart.naver?code=012790", "신일제약 차트보기")</f>
        <v>신일제약 차트보기</v>
      </c>
    </row>
    <row r="19" spans="1:33" x14ac:dyDescent="0.3">
      <c r="A19" t="s">
        <v>103</v>
      </c>
      <c r="B19" t="s">
        <v>34</v>
      </c>
      <c r="C19" t="s">
        <v>104</v>
      </c>
      <c r="D19">
        <v>429.95</v>
      </c>
      <c r="E19" t="s">
        <v>105</v>
      </c>
      <c r="F19">
        <v>4.82</v>
      </c>
      <c r="G19">
        <v>0.1800000071525574</v>
      </c>
      <c r="H19">
        <v>21043</v>
      </c>
      <c r="I19">
        <v>3.940000057220459</v>
      </c>
      <c r="J19" t="s">
        <v>106</v>
      </c>
      <c r="K19">
        <v>102000</v>
      </c>
      <c r="L19">
        <v>101500</v>
      </c>
      <c r="M19">
        <v>-0.49</v>
      </c>
      <c r="N19">
        <v>0</v>
      </c>
      <c r="O19">
        <v>0.2</v>
      </c>
      <c r="P19">
        <v>0</v>
      </c>
      <c r="Q19">
        <v>-5.81</v>
      </c>
      <c r="R19">
        <v>-1.78</v>
      </c>
      <c r="S19">
        <v>3.61</v>
      </c>
      <c r="T19">
        <v>0.81</v>
      </c>
      <c r="U19">
        <v>1.9</v>
      </c>
      <c r="V19">
        <v>1.71</v>
      </c>
      <c r="W19">
        <v>2.25</v>
      </c>
      <c r="X19">
        <v>1.19</v>
      </c>
      <c r="Y19">
        <v>2.34</v>
      </c>
      <c r="Z19">
        <v>0</v>
      </c>
      <c r="AA19">
        <v>0.11</v>
      </c>
      <c r="AB19">
        <v>0</v>
      </c>
      <c r="AC19">
        <v>2.58</v>
      </c>
      <c r="AD19">
        <v>1.5</v>
      </c>
      <c r="AE19">
        <v>1.54</v>
      </c>
      <c r="AF19">
        <v>0.95499999999999996</v>
      </c>
      <c r="AG19" t="str">
        <f>HYPERLINK("https://finance.naver.com/item/fchart.naver?code=058650", "세아홀딩스 차트보기")</f>
        <v>세아홀딩스 차트보기</v>
      </c>
    </row>
    <row r="20" spans="1:33" x14ac:dyDescent="0.3">
      <c r="A20" t="s">
        <v>107</v>
      </c>
      <c r="B20" t="s">
        <v>55</v>
      </c>
      <c r="C20" t="s">
        <v>108</v>
      </c>
      <c r="D20">
        <v>170995</v>
      </c>
      <c r="E20" t="s">
        <v>109</v>
      </c>
      <c r="F20">
        <v>0</v>
      </c>
      <c r="G20">
        <v>1.5099999904632571</v>
      </c>
      <c r="H20">
        <v>0</v>
      </c>
      <c r="I20">
        <v>1.6499999761581421</v>
      </c>
      <c r="J20" t="s">
        <v>110</v>
      </c>
      <c r="K20">
        <v>20300</v>
      </c>
      <c r="L20">
        <v>19400</v>
      </c>
      <c r="M20">
        <v>-4.43</v>
      </c>
      <c r="N20">
        <v>-5.37</v>
      </c>
      <c r="O20">
        <v>-9.51</v>
      </c>
      <c r="P20">
        <v>0.73</v>
      </c>
      <c r="Q20">
        <v>-6.18</v>
      </c>
      <c r="R20">
        <v>-0.45</v>
      </c>
      <c r="S20">
        <v>-9.2899999999999991</v>
      </c>
      <c r="T20">
        <v>3.69</v>
      </c>
      <c r="U20">
        <v>8.15</v>
      </c>
      <c r="V20">
        <v>2.17</v>
      </c>
      <c r="W20">
        <v>3.95</v>
      </c>
      <c r="X20">
        <v>3.7</v>
      </c>
      <c r="Y20">
        <v>7.53</v>
      </c>
      <c r="Z20">
        <v>1.46</v>
      </c>
      <c r="AA20">
        <v>1.17</v>
      </c>
      <c r="AB20">
        <v>0.34</v>
      </c>
      <c r="AC20">
        <v>1.56</v>
      </c>
      <c r="AD20">
        <v>0.12</v>
      </c>
      <c r="AE20">
        <v>1.23</v>
      </c>
      <c r="AF20">
        <v>0.97999999999999987</v>
      </c>
      <c r="AG20" t="str">
        <f>HYPERLINK("https://finance.naver.com/item/fchart.naver?code=000440", "중앙에너비스 차트보기")</f>
        <v>중앙에너비스 차트보기</v>
      </c>
    </row>
    <row r="21" spans="1:33" x14ac:dyDescent="0.3">
      <c r="A21" t="s">
        <v>111</v>
      </c>
      <c r="B21" t="s">
        <v>55</v>
      </c>
      <c r="C21" t="s">
        <v>112</v>
      </c>
      <c r="D21">
        <v>107708.86</v>
      </c>
      <c r="E21" t="s">
        <v>113</v>
      </c>
      <c r="F21">
        <v>7.85</v>
      </c>
      <c r="G21">
        <v>0.98000001907348633</v>
      </c>
      <c r="H21">
        <v>75</v>
      </c>
      <c r="I21">
        <v>0</v>
      </c>
      <c r="J21" t="s">
        <v>114</v>
      </c>
      <c r="K21">
        <v>760</v>
      </c>
      <c r="L21">
        <v>589</v>
      </c>
      <c r="M21">
        <v>-22.5</v>
      </c>
      <c r="N21">
        <v>0.34</v>
      </c>
      <c r="O21">
        <v>-4.07</v>
      </c>
      <c r="P21">
        <v>0.33</v>
      </c>
      <c r="Q21">
        <v>-3.4</v>
      </c>
      <c r="R21">
        <v>-6.14</v>
      </c>
      <c r="S21">
        <v>6.6</v>
      </c>
      <c r="T21">
        <v>1.1000000000000001</v>
      </c>
      <c r="U21">
        <v>1.23</v>
      </c>
      <c r="V21">
        <v>2.61</v>
      </c>
      <c r="W21">
        <v>10.6</v>
      </c>
      <c r="X21">
        <v>4.91</v>
      </c>
      <c r="Y21">
        <v>8.7200000000000006</v>
      </c>
      <c r="Z21">
        <v>0.31</v>
      </c>
      <c r="AA21">
        <v>3.31</v>
      </c>
      <c r="AB21">
        <v>0.13</v>
      </c>
      <c r="AC21">
        <v>0.32</v>
      </c>
      <c r="AD21">
        <v>1.25</v>
      </c>
      <c r="AE21">
        <v>0.76</v>
      </c>
      <c r="AF21">
        <v>1.013333333333333</v>
      </c>
      <c r="AG21" t="str">
        <f>HYPERLINK("https://finance.naver.com/item/fchart.naver?code=079190", "케스피온 차트보기")</f>
        <v>케스피온 차트보기</v>
      </c>
    </row>
    <row r="22" spans="1:33" x14ac:dyDescent="0.3">
      <c r="A22" t="s">
        <v>115</v>
      </c>
      <c r="B22" t="s">
        <v>34</v>
      </c>
      <c r="C22" t="s">
        <v>116</v>
      </c>
      <c r="D22">
        <v>10577.48</v>
      </c>
      <c r="E22" t="s">
        <v>117</v>
      </c>
      <c r="F22">
        <v>4.72</v>
      </c>
      <c r="G22">
        <v>0.34000000357627869</v>
      </c>
      <c r="H22">
        <v>10647</v>
      </c>
      <c r="I22">
        <v>3.4800000190734859</v>
      </c>
      <c r="J22" t="s">
        <v>118</v>
      </c>
      <c r="K22">
        <v>50900</v>
      </c>
      <c r="L22">
        <v>50300</v>
      </c>
      <c r="M22">
        <v>-1.18</v>
      </c>
      <c r="N22">
        <v>-0.4</v>
      </c>
      <c r="O22">
        <v>0.2</v>
      </c>
      <c r="P22">
        <v>1.84</v>
      </c>
      <c r="Q22">
        <v>-0.1</v>
      </c>
      <c r="R22">
        <v>-3.7</v>
      </c>
      <c r="S22">
        <v>4.99</v>
      </c>
      <c r="T22">
        <v>1.05</v>
      </c>
      <c r="U22">
        <v>0.91</v>
      </c>
      <c r="V22">
        <v>1.47</v>
      </c>
      <c r="W22">
        <v>3.03</v>
      </c>
      <c r="X22">
        <v>1.21</v>
      </c>
      <c r="Y22">
        <v>4.33</v>
      </c>
      <c r="Z22">
        <v>0.38</v>
      </c>
      <c r="AA22">
        <v>0.22</v>
      </c>
      <c r="AB22">
        <v>1.25</v>
      </c>
      <c r="AC22">
        <v>0.03</v>
      </c>
      <c r="AD22">
        <v>3.06</v>
      </c>
      <c r="AE22">
        <v>1.1499999999999999</v>
      </c>
      <c r="AF22">
        <v>1.0149999999999999</v>
      </c>
      <c r="AG22" t="str">
        <f>HYPERLINK("https://finance.naver.com/item/fchart.naver?code=145990", "삼양사 차트보기")</f>
        <v>삼양사 차트보기</v>
      </c>
    </row>
    <row r="23" spans="1:33" x14ac:dyDescent="0.3">
      <c r="A23" t="s">
        <v>119</v>
      </c>
      <c r="B23" t="s">
        <v>55</v>
      </c>
      <c r="C23" t="s">
        <v>120</v>
      </c>
      <c r="D23">
        <v>24655.38</v>
      </c>
      <c r="E23" t="s">
        <v>121</v>
      </c>
      <c r="F23">
        <v>0</v>
      </c>
      <c r="G23">
        <v>0.43999999761581421</v>
      </c>
      <c r="H23">
        <v>0</v>
      </c>
      <c r="I23">
        <v>0</v>
      </c>
      <c r="J23" t="s">
        <v>122</v>
      </c>
      <c r="K23">
        <v>2275</v>
      </c>
      <c r="L23">
        <v>2120</v>
      </c>
      <c r="M23">
        <v>-6.81</v>
      </c>
      <c r="N23">
        <v>-5.78</v>
      </c>
      <c r="O23">
        <v>-3.49</v>
      </c>
      <c r="P23">
        <v>2.1800000000000002</v>
      </c>
      <c r="Q23">
        <v>4.0599999999999996</v>
      </c>
      <c r="R23">
        <v>-3.09</v>
      </c>
      <c r="S23">
        <v>1.32</v>
      </c>
      <c r="T23">
        <v>3.92</v>
      </c>
      <c r="U23">
        <v>3.56</v>
      </c>
      <c r="V23">
        <v>2.62</v>
      </c>
      <c r="W23">
        <v>4.83</v>
      </c>
      <c r="X23">
        <v>2.23</v>
      </c>
      <c r="Y23">
        <v>2.09</v>
      </c>
      <c r="Z23">
        <v>1.47</v>
      </c>
      <c r="AA23">
        <v>0.98</v>
      </c>
      <c r="AB23">
        <v>0.83</v>
      </c>
      <c r="AC23">
        <v>0.84</v>
      </c>
      <c r="AD23">
        <v>1.39</v>
      </c>
      <c r="AE23">
        <v>0.63</v>
      </c>
      <c r="AF23">
        <v>1.023333333333333</v>
      </c>
      <c r="AG23" t="str">
        <f>HYPERLINK("https://finance.naver.com/item/fchart.naver?code=043360", "디지아이 차트보기")</f>
        <v>디지아이 차트보기</v>
      </c>
    </row>
    <row r="24" spans="1:33" x14ac:dyDescent="0.3">
      <c r="A24" t="s">
        <v>123</v>
      </c>
      <c r="B24" t="s">
        <v>55</v>
      </c>
      <c r="C24" t="s">
        <v>124</v>
      </c>
      <c r="D24">
        <v>21343.9</v>
      </c>
      <c r="E24" t="s">
        <v>125</v>
      </c>
      <c r="F24">
        <v>3.75</v>
      </c>
      <c r="G24">
        <v>0.54000002145767212</v>
      </c>
      <c r="H24">
        <v>4540</v>
      </c>
      <c r="I24">
        <v>3.5199999809265141</v>
      </c>
      <c r="J24" t="s">
        <v>126</v>
      </c>
      <c r="K24">
        <v>20000</v>
      </c>
      <c r="L24">
        <v>17040</v>
      </c>
      <c r="M24">
        <v>-14.8</v>
      </c>
      <c r="N24">
        <v>1.85</v>
      </c>
      <c r="O24">
        <v>-2.35</v>
      </c>
      <c r="P24">
        <v>-1.93</v>
      </c>
      <c r="Q24">
        <v>-0.11</v>
      </c>
      <c r="R24">
        <v>-4.09</v>
      </c>
      <c r="S24">
        <v>0.3</v>
      </c>
      <c r="T24">
        <v>1.84</v>
      </c>
      <c r="U24">
        <v>1.27</v>
      </c>
      <c r="V24">
        <v>2.16</v>
      </c>
      <c r="W24">
        <v>2.66</v>
      </c>
      <c r="X24">
        <v>1.78</v>
      </c>
      <c r="Y24">
        <v>2.69</v>
      </c>
      <c r="Z24">
        <v>1.01</v>
      </c>
      <c r="AA24">
        <v>1.85</v>
      </c>
      <c r="AB24">
        <v>0.89</v>
      </c>
      <c r="AC24">
        <v>0.04</v>
      </c>
      <c r="AD24">
        <v>2.2999999999999998</v>
      </c>
      <c r="AE24">
        <v>0.11</v>
      </c>
      <c r="AF24">
        <v>1.033333333333333</v>
      </c>
      <c r="AG24" t="str">
        <f>HYPERLINK("https://finance.naver.com/item/fchart.naver?code=045100", "한양이엔지 차트보기")</f>
        <v>한양이엔지 차트보기</v>
      </c>
    </row>
    <row r="25" spans="1:33" x14ac:dyDescent="0.3">
      <c r="A25" t="s">
        <v>127</v>
      </c>
      <c r="B25" t="s">
        <v>34</v>
      </c>
      <c r="C25" t="s">
        <v>128</v>
      </c>
      <c r="D25">
        <v>2263.81</v>
      </c>
      <c r="E25" t="s">
        <v>129</v>
      </c>
      <c r="F25">
        <v>22.08</v>
      </c>
      <c r="G25">
        <v>0.31999999284744263</v>
      </c>
      <c r="H25">
        <v>173</v>
      </c>
      <c r="I25">
        <v>3.660000085830688</v>
      </c>
      <c r="J25" t="s">
        <v>130</v>
      </c>
      <c r="K25">
        <v>3880</v>
      </c>
      <c r="L25">
        <v>3820</v>
      </c>
      <c r="M25">
        <v>-1.55</v>
      </c>
      <c r="N25">
        <v>-1.8</v>
      </c>
      <c r="O25">
        <v>0.26</v>
      </c>
      <c r="P25">
        <v>1.7</v>
      </c>
      <c r="Q25">
        <v>1.3</v>
      </c>
      <c r="R25">
        <v>0.13</v>
      </c>
      <c r="S25">
        <v>-1.3</v>
      </c>
      <c r="T25">
        <v>0.95</v>
      </c>
      <c r="U25">
        <v>1.01</v>
      </c>
      <c r="V25">
        <v>0.99</v>
      </c>
      <c r="W25">
        <v>1.68</v>
      </c>
      <c r="X25">
        <v>0.75</v>
      </c>
      <c r="Y25">
        <v>0.93</v>
      </c>
      <c r="Z25">
        <v>1.89</v>
      </c>
      <c r="AA25">
        <v>0.26</v>
      </c>
      <c r="AB25">
        <v>1.72</v>
      </c>
      <c r="AC25">
        <v>0.77</v>
      </c>
      <c r="AD25">
        <v>0.17</v>
      </c>
      <c r="AE25">
        <v>1.4</v>
      </c>
      <c r="AF25">
        <v>1.0349999999999999</v>
      </c>
      <c r="AG25" t="str">
        <f>HYPERLINK("https://finance.naver.com/item/fchart.naver?code=075180", "새론오토모티브 차트보기")</f>
        <v>새론오토모티브 차트보기</v>
      </c>
    </row>
    <row r="26" spans="1:33" x14ac:dyDescent="0.3">
      <c r="A26" t="s">
        <v>131</v>
      </c>
      <c r="B26" t="s">
        <v>34</v>
      </c>
      <c r="C26" t="s">
        <v>132</v>
      </c>
      <c r="D26">
        <v>8678</v>
      </c>
      <c r="E26" t="s">
        <v>133</v>
      </c>
      <c r="F26">
        <v>1.99</v>
      </c>
      <c r="G26">
        <v>0.25999999046325678</v>
      </c>
      <c r="H26">
        <v>36872</v>
      </c>
      <c r="I26">
        <v>7.0199999809265137</v>
      </c>
      <c r="J26" t="s">
        <v>134</v>
      </c>
      <c r="K26">
        <v>71700</v>
      </c>
      <c r="L26">
        <v>73400</v>
      </c>
      <c r="M26">
        <v>2.37</v>
      </c>
      <c r="N26">
        <v>-1.74</v>
      </c>
      <c r="O26">
        <v>-1.72</v>
      </c>
      <c r="P26">
        <v>0.8</v>
      </c>
      <c r="Q26">
        <v>-0.93</v>
      </c>
      <c r="R26">
        <v>0.66</v>
      </c>
      <c r="S26">
        <v>3.63</v>
      </c>
      <c r="T26">
        <v>1.64</v>
      </c>
      <c r="U26">
        <v>0.78</v>
      </c>
      <c r="V26">
        <v>1.68</v>
      </c>
      <c r="W26">
        <v>2.62</v>
      </c>
      <c r="X26">
        <v>1.35</v>
      </c>
      <c r="Y26">
        <v>2.23</v>
      </c>
      <c r="Z26">
        <v>1.06</v>
      </c>
      <c r="AA26">
        <v>2.21</v>
      </c>
      <c r="AB26">
        <v>0.48</v>
      </c>
      <c r="AC26">
        <v>0.35</v>
      </c>
      <c r="AD26">
        <v>0.49</v>
      </c>
      <c r="AE26">
        <v>1.63</v>
      </c>
      <c r="AF26">
        <v>1.0366666666666671</v>
      </c>
      <c r="AG26" t="str">
        <f>HYPERLINK("https://finance.naver.com/item/fchart.naver?code=017940", "E1 차트보기")</f>
        <v>E1 차트보기</v>
      </c>
    </row>
    <row r="27" spans="1:33" x14ac:dyDescent="0.3">
      <c r="A27" t="s">
        <v>135</v>
      </c>
      <c r="B27" t="s">
        <v>55</v>
      </c>
      <c r="C27" t="s">
        <v>136</v>
      </c>
      <c r="D27">
        <v>140405.85999999999</v>
      </c>
      <c r="E27" t="s">
        <v>137</v>
      </c>
      <c r="F27">
        <v>5.0999999999999996</v>
      </c>
      <c r="G27">
        <v>0.81999999284744263</v>
      </c>
      <c r="H27">
        <v>720</v>
      </c>
      <c r="I27">
        <v>1.0900000333786011</v>
      </c>
      <c r="J27" t="s">
        <v>138</v>
      </c>
      <c r="K27">
        <v>4420</v>
      </c>
      <c r="L27">
        <v>3670</v>
      </c>
      <c r="M27">
        <v>-16.97</v>
      </c>
      <c r="N27">
        <v>0.96</v>
      </c>
      <c r="O27">
        <v>-1.99</v>
      </c>
      <c r="P27">
        <v>-3.95</v>
      </c>
      <c r="Q27">
        <v>0.39</v>
      </c>
      <c r="R27">
        <v>-0.91</v>
      </c>
      <c r="S27">
        <v>-0.51</v>
      </c>
      <c r="T27">
        <v>2.68</v>
      </c>
      <c r="U27">
        <v>1.25</v>
      </c>
      <c r="V27">
        <v>1.42</v>
      </c>
      <c r="W27">
        <v>3.16</v>
      </c>
      <c r="X27">
        <v>0.84</v>
      </c>
      <c r="Y27">
        <v>1.55</v>
      </c>
      <c r="Z27">
        <v>0.36</v>
      </c>
      <c r="AA27">
        <v>1.59</v>
      </c>
      <c r="AB27">
        <v>2.78</v>
      </c>
      <c r="AC27">
        <v>0.12</v>
      </c>
      <c r="AD27">
        <v>1.08</v>
      </c>
      <c r="AE27">
        <v>0.33</v>
      </c>
      <c r="AF27">
        <v>1.043333333333333</v>
      </c>
      <c r="AG27" t="str">
        <f>HYPERLINK("https://finance.naver.com/item/fchart.naver?code=290270", "휴네시온 차트보기")</f>
        <v>휴네시온 차트보기</v>
      </c>
    </row>
    <row r="28" spans="1:33" x14ac:dyDescent="0.3">
      <c r="A28" t="s">
        <v>139</v>
      </c>
      <c r="B28" t="s">
        <v>55</v>
      </c>
      <c r="C28" t="s">
        <v>140</v>
      </c>
      <c r="D28">
        <v>36378.19</v>
      </c>
      <c r="E28" t="s">
        <v>141</v>
      </c>
      <c r="F28">
        <v>0</v>
      </c>
      <c r="G28">
        <v>0</v>
      </c>
      <c r="H28">
        <v>0</v>
      </c>
      <c r="I28">
        <v>0</v>
      </c>
      <c r="J28" t="s">
        <v>142</v>
      </c>
      <c r="K28">
        <v>2095</v>
      </c>
      <c r="L28">
        <v>2100</v>
      </c>
      <c r="M28">
        <v>0.24</v>
      </c>
      <c r="N28">
        <v>0</v>
      </c>
      <c r="O28">
        <v>0.48</v>
      </c>
      <c r="P28">
        <v>0</v>
      </c>
      <c r="Q28">
        <v>-0.71</v>
      </c>
      <c r="R28">
        <v>0.24</v>
      </c>
      <c r="S28">
        <v>-0.71</v>
      </c>
      <c r="T28">
        <v>0.14000000000000001</v>
      </c>
      <c r="U28">
        <v>0.28000000000000003</v>
      </c>
      <c r="V28">
        <v>0.25</v>
      </c>
      <c r="W28">
        <v>0.32</v>
      </c>
      <c r="X28">
        <v>0.34</v>
      </c>
      <c r="Y28">
        <v>0.43</v>
      </c>
      <c r="Z28">
        <v>0</v>
      </c>
      <c r="AA28">
        <v>1.71</v>
      </c>
      <c r="AB28">
        <v>0</v>
      </c>
      <c r="AC28">
        <v>2.2200000000000002</v>
      </c>
      <c r="AD28">
        <v>0.71</v>
      </c>
      <c r="AE28">
        <v>1.65</v>
      </c>
      <c r="AF28">
        <v>1.048333333333334</v>
      </c>
      <c r="AG28" t="str">
        <f>HYPERLINK("https://finance.naver.com/item/fchart.naver?code=415580", "상상인제3호스팩 차트보기")</f>
        <v>상상인제3호스팩 차트보기</v>
      </c>
    </row>
    <row r="29" spans="1:33" x14ac:dyDescent="0.3">
      <c r="A29" t="s">
        <v>143</v>
      </c>
      <c r="B29" t="s">
        <v>34</v>
      </c>
      <c r="C29" t="s">
        <v>144</v>
      </c>
      <c r="D29">
        <v>831.9</v>
      </c>
      <c r="E29" t="s">
        <v>145</v>
      </c>
      <c r="F29">
        <v>0</v>
      </c>
      <c r="G29">
        <v>0</v>
      </c>
      <c r="H29">
        <v>0</v>
      </c>
      <c r="I29">
        <v>4.7399997711181641</v>
      </c>
      <c r="J29" t="s">
        <v>146</v>
      </c>
      <c r="K29">
        <v>13060</v>
      </c>
      <c r="L29">
        <v>12660</v>
      </c>
      <c r="M29">
        <v>-3.06</v>
      </c>
      <c r="N29">
        <v>-0.16</v>
      </c>
      <c r="O29">
        <v>-2.76</v>
      </c>
      <c r="P29">
        <v>-1.07</v>
      </c>
      <c r="Q29">
        <v>-1.8</v>
      </c>
      <c r="R29">
        <v>-0.3</v>
      </c>
      <c r="S29">
        <v>0.67</v>
      </c>
      <c r="T29">
        <v>1.23</v>
      </c>
      <c r="U29">
        <v>0.79</v>
      </c>
      <c r="V29">
        <v>0.9</v>
      </c>
      <c r="W29">
        <v>1.95</v>
      </c>
      <c r="X29">
        <v>1.73</v>
      </c>
      <c r="Y29">
        <v>1.55</v>
      </c>
      <c r="Z29">
        <v>0.13</v>
      </c>
      <c r="AA29">
        <v>3.49</v>
      </c>
      <c r="AB29">
        <v>1.19</v>
      </c>
      <c r="AC29">
        <v>0.92</v>
      </c>
      <c r="AD29">
        <v>0.17</v>
      </c>
      <c r="AE29">
        <v>0.43</v>
      </c>
      <c r="AF29">
        <v>1.0549999999999999</v>
      </c>
      <c r="AG29" t="str">
        <f>HYPERLINK("https://finance.naver.com/item/fchart.naver?code=002025", "코오롱우 차트보기")</f>
        <v>코오롱우 차트보기</v>
      </c>
    </row>
    <row r="30" spans="1:33" x14ac:dyDescent="0.3">
      <c r="A30" t="s">
        <v>147</v>
      </c>
      <c r="B30" t="s">
        <v>55</v>
      </c>
      <c r="C30" t="s">
        <v>148</v>
      </c>
      <c r="D30">
        <v>4464.1400000000003</v>
      </c>
      <c r="E30" t="s">
        <v>149</v>
      </c>
      <c r="F30">
        <v>0</v>
      </c>
      <c r="G30">
        <v>0</v>
      </c>
      <c r="H30">
        <v>0</v>
      </c>
      <c r="I30">
        <v>0</v>
      </c>
      <c r="J30" t="s">
        <v>150</v>
      </c>
      <c r="K30">
        <v>2160</v>
      </c>
      <c r="L30">
        <v>2135</v>
      </c>
      <c r="M30">
        <v>-1.1599999999999999</v>
      </c>
      <c r="N30">
        <v>0</v>
      </c>
      <c r="O30">
        <v>-0.23</v>
      </c>
      <c r="P30">
        <v>0</v>
      </c>
      <c r="Q30">
        <v>-2.5099999999999998</v>
      </c>
      <c r="R30">
        <v>1.64</v>
      </c>
      <c r="S30">
        <v>0.23</v>
      </c>
      <c r="T30">
        <v>0.44</v>
      </c>
      <c r="U30">
        <v>0.56000000000000005</v>
      </c>
      <c r="V30">
        <v>0.41</v>
      </c>
      <c r="W30">
        <v>1</v>
      </c>
      <c r="X30">
        <v>0.56000000000000005</v>
      </c>
      <c r="Y30">
        <v>0.41</v>
      </c>
      <c r="Z30">
        <v>0</v>
      </c>
      <c r="AA30">
        <v>0.41</v>
      </c>
      <c r="AB30">
        <v>0</v>
      </c>
      <c r="AC30">
        <v>2.5099999999999998</v>
      </c>
      <c r="AD30">
        <v>2.93</v>
      </c>
      <c r="AE30">
        <v>0.56000000000000005</v>
      </c>
      <c r="AF30">
        <v>1.0683333333333329</v>
      </c>
      <c r="AG30" t="str">
        <f>HYPERLINK("https://finance.naver.com/item/fchart.naver?code=468760", "유진스팩10호 차트보기")</f>
        <v>유진스팩10호 차트보기</v>
      </c>
    </row>
    <row r="31" spans="1:33" x14ac:dyDescent="0.3">
      <c r="A31" t="s">
        <v>151</v>
      </c>
      <c r="B31" t="s">
        <v>34</v>
      </c>
      <c r="C31" t="s">
        <v>152</v>
      </c>
      <c r="D31">
        <v>790275.86</v>
      </c>
      <c r="E31" t="s">
        <v>153</v>
      </c>
      <c r="F31">
        <v>84.5</v>
      </c>
      <c r="G31">
        <v>0.33000001311302191</v>
      </c>
      <c r="H31">
        <v>6</v>
      </c>
      <c r="I31">
        <v>0.38999998569488531</v>
      </c>
      <c r="J31" t="s">
        <v>154</v>
      </c>
      <c r="K31">
        <v>597</v>
      </c>
      <c r="L31">
        <v>507</v>
      </c>
      <c r="M31">
        <v>-15.08</v>
      </c>
      <c r="N31">
        <v>0</v>
      </c>
      <c r="O31">
        <v>-0.57999999999999996</v>
      </c>
      <c r="P31">
        <v>0.19</v>
      </c>
      <c r="Q31">
        <v>-8.66</v>
      </c>
      <c r="R31">
        <v>-0.36</v>
      </c>
      <c r="S31">
        <v>-1.58</v>
      </c>
      <c r="T31">
        <v>0.47</v>
      </c>
      <c r="U31">
        <v>0.81</v>
      </c>
      <c r="V31">
        <v>1.69</v>
      </c>
      <c r="W31">
        <v>2.44</v>
      </c>
      <c r="X31">
        <v>0.81</v>
      </c>
      <c r="Y31">
        <v>0.97</v>
      </c>
      <c r="Z31">
        <v>0</v>
      </c>
      <c r="AA31">
        <v>0.72</v>
      </c>
      <c r="AB31">
        <v>0.11</v>
      </c>
      <c r="AC31">
        <v>3.55</v>
      </c>
      <c r="AD31">
        <v>0.44</v>
      </c>
      <c r="AE31">
        <v>1.63</v>
      </c>
      <c r="AF31">
        <v>1.075</v>
      </c>
      <c r="AG31" t="str">
        <f>HYPERLINK("https://finance.naver.com/item/fchart.naver?code=001510", "SK증권 차트보기")</f>
        <v>SK증권 차트보기</v>
      </c>
    </row>
    <row r="32" spans="1:33" x14ac:dyDescent="0.3">
      <c r="A32" t="s">
        <v>155</v>
      </c>
      <c r="B32" t="s">
        <v>55</v>
      </c>
      <c r="C32" t="s">
        <v>156</v>
      </c>
      <c r="D32">
        <v>3378.67</v>
      </c>
      <c r="E32" t="s">
        <v>157</v>
      </c>
      <c r="F32">
        <v>0</v>
      </c>
      <c r="G32">
        <v>0</v>
      </c>
      <c r="H32">
        <v>0</v>
      </c>
      <c r="I32">
        <v>0</v>
      </c>
      <c r="J32" t="s">
        <v>158</v>
      </c>
      <c r="K32">
        <v>2125</v>
      </c>
      <c r="L32">
        <v>2085</v>
      </c>
      <c r="M32">
        <v>-1.88</v>
      </c>
      <c r="N32">
        <v>0.24</v>
      </c>
      <c r="O32">
        <v>0.72</v>
      </c>
      <c r="P32">
        <v>-0.71</v>
      </c>
      <c r="Q32">
        <v>-1.4</v>
      </c>
      <c r="R32">
        <v>0</v>
      </c>
      <c r="S32">
        <v>0</v>
      </c>
      <c r="T32">
        <v>0.49</v>
      </c>
      <c r="U32">
        <v>0.59</v>
      </c>
      <c r="V32">
        <v>0.56000000000000005</v>
      </c>
      <c r="W32">
        <v>0.4</v>
      </c>
      <c r="X32">
        <v>0.64</v>
      </c>
      <c r="Y32">
        <v>0.35</v>
      </c>
      <c r="Z32">
        <v>0.49</v>
      </c>
      <c r="AA32">
        <v>1.22</v>
      </c>
      <c r="AB32">
        <v>1.27</v>
      </c>
      <c r="AC32">
        <v>3.5</v>
      </c>
      <c r="AD32">
        <v>0</v>
      </c>
      <c r="AE32">
        <v>0</v>
      </c>
      <c r="AF32">
        <v>1.08</v>
      </c>
      <c r="AG32" t="str">
        <f>HYPERLINK("https://finance.naver.com/item/fchart.naver?code=445360", "비엔케이제1호스팩 차트보기")</f>
        <v>비엔케이제1호스팩 차트보기</v>
      </c>
    </row>
    <row r="33" spans="1:33" x14ac:dyDescent="0.3">
      <c r="A33" t="s">
        <v>159</v>
      </c>
      <c r="B33" t="s">
        <v>34</v>
      </c>
      <c r="C33" t="s">
        <v>160</v>
      </c>
      <c r="D33">
        <v>10118.709999999999</v>
      </c>
      <c r="E33" t="s">
        <v>161</v>
      </c>
      <c r="F33">
        <v>2.94</v>
      </c>
      <c r="G33">
        <v>0.27000001072883612</v>
      </c>
      <c r="H33">
        <v>16508</v>
      </c>
      <c r="I33">
        <v>0</v>
      </c>
      <c r="J33" t="s">
        <v>162</v>
      </c>
      <c r="K33">
        <v>45000</v>
      </c>
      <c r="L33">
        <v>48600</v>
      </c>
      <c r="M33">
        <v>8</v>
      </c>
      <c r="N33">
        <v>5.65</v>
      </c>
      <c r="O33">
        <v>-2.5499999999999998</v>
      </c>
      <c r="P33">
        <v>-1.64</v>
      </c>
      <c r="Q33">
        <v>5.26</v>
      </c>
      <c r="R33">
        <v>2.0299999999999998</v>
      </c>
      <c r="S33">
        <v>6.28</v>
      </c>
      <c r="T33">
        <v>4.13</v>
      </c>
      <c r="U33">
        <v>2.23</v>
      </c>
      <c r="V33">
        <v>2.71</v>
      </c>
      <c r="W33">
        <v>4.07</v>
      </c>
      <c r="X33">
        <v>2.39</v>
      </c>
      <c r="Y33">
        <v>4.3899999999999997</v>
      </c>
      <c r="Z33">
        <v>1.37</v>
      </c>
      <c r="AA33">
        <v>1.1399999999999999</v>
      </c>
      <c r="AB33">
        <v>0.61</v>
      </c>
      <c r="AC33">
        <v>1.29</v>
      </c>
      <c r="AD33">
        <v>0.85</v>
      </c>
      <c r="AE33">
        <v>1.43</v>
      </c>
      <c r="AF33">
        <v>1.115</v>
      </c>
      <c r="AG33" t="str">
        <f>HYPERLINK("https://finance.naver.com/item/fchart.naver?code=071320", "지역난방공사 차트보기")</f>
        <v>지역난방공사 차트보기</v>
      </c>
    </row>
    <row r="34" spans="1:33" x14ac:dyDescent="0.3">
      <c r="A34" t="s">
        <v>163</v>
      </c>
      <c r="B34" t="s">
        <v>34</v>
      </c>
      <c r="C34" t="s">
        <v>164</v>
      </c>
      <c r="D34">
        <v>1168.67</v>
      </c>
      <c r="E34" t="s">
        <v>165</v>
      </c>
      <c r="F34">
        <v>0</v>
      </c>
      <c r="G34">
        <v>0</v>
      </c>
      <c r="H34">
        <v>0</v>
      </c>
      <c r="I34">
        <v>5.1999998092651367</v>
      </c>
      <c r="J34" t="s">
        <v>166</v>
      </c>
      <c r="K34">
        <v>67900</v>
      </c>
      <c r="L34">
        <v>65500</v>
      </c>
      <c r="M34">
        <v>-3.53</v>
      </c>
      <c r="N34">
        <v>-0.3</v>
      </c>
      <c r="O34">
        <v>-0.9</v>
      </c>
      <c r="P34">
        <v>-0.15</v>
      </c>
      <c r="Q34">
        <v>-1.75</v>
      </c>
      <c r="R34">
        <v>0.44</v>
      </c>
      <c r="S34">
        <v>-0.15</v>
      </c>
      <c r="T34">
        <v>0.39</v>
      </c>
      <c r="U34">
        <v>0.32</v>
      </c>
      <c r="V34">
        <v>0.51</v>
      </c>
      <c r="W34">
        <v>1.19</v>
      </c>
      <c r="X34">
        <v>0.37</v>
      </c>
      <c r="Y34">
        <v>0.9</v>
      </c>
      <c r="Z34">
        <v>0.77</v>
      </c>
      <c r="AA34">
        <v>2.81</v>
      </c>
      <c r="AB34">
        <v>0.28999999999999998</v>
      </c>
      <c r="AC34">
        <v>1.47</v>
      </c>
      <c r="AD34">
        <v>1.19</v>
      </c>
      <c r="AE34">
        <v>0.17</v>
      </c>
      <c r="AF34">
        <v>1.116666666666666</v>
      </c>
      <c r="AG34" t="str">
        <f>HYPERLINK("https://finance.naver.com/item/fchart.naver?code=005305", "롯데칠성우 차트보기")</f>
        <v>롯데칠성우 차트보기</v>
      </c>
    </row>
    <row r="35" spans="1:33" x14ac:dyDescent="0.3">
      <c r="A35" t="s">
        <v>167</v>
      </c>
      <c r="B35" t="s">
        <v>34</v>
      </c>
      <c r="C35" t="s">
        <v>168</v>
      </c>
      <c r="D35">
        <v>26591.24</v>
      </c>
      <c r="E35" t="s">
        <v>169</v>
      </c>
      <c r="F35">
        <v>17.3</v>
      </c>
      <c r="G35">
        <v>0.75999999046325684</v>
      </c>
      <c r="H35">
        <v>481</v>
      </c>
      <c r="I35">
        <v>7.2100000381469727</v>
      </c>
      <c r="J35" t="s">
        <v>170</v>
      </c>
      <c r="K35">
        <v>8680</v>
      </c>
      <c r="L35">
        <v>8320</v>
      </c>
      <c r="M35">
        <v>-4.1500000000000004</v>
      </c>
      <c r="N35">
        <v>-0.6</v>
      </c>
      <c r="O35">
        <v>0.48</v>
      </c>
      <c r="P35">
        <v>-2.2000000000000002</v>
      </c>
      <c r="Q35">
        <v>0</v>
      </c>
      <c r="R35">
        <v>-0.12</v>
      </c>
      <c r="S35">
        <v>-0.23</v>
      </c>
      <c r="T35">
        <v>0.45</v>
      </c>
      <c r="U35">
        <v>0.53</v>
      </c>
      <c r="V35">
        <v>0.57999999999999996</v>
      </c>
      <c r="W35">
        <v>1.51</v>
      </c>
      <c r="X35">
        <v>0.37</v>
      </c>
      <c r="Y35">
        <v>0.55000000000000004</v>
      </c>
      <c r="Z35">
        <v>1.33</v>
      </c>
      <c r="AA35">
        <v>0.91</v>
      </c>
      <c r="AB35">
        <v>3.79</v>
      </c>
      <c r="AC35">
        <v>0</v>
      </c>
      <c r="AD35">
        <v>0.32</v>
      </c>
      <c r="AE35">
        <v>0.42</v>
      </c>
      <c r="AF35">
        <v>1.128333333333333</v>
      </c>
      <c r="AG35" t="str">
        <f>HYPERLINK("https://finance.naver.com/item/fchart.naver?code=122900", "아이마켓코리아 차트보기")</f>
        <v>아이마켓코리아 차트보기</v>
      </c>
    </row>
    <row r="36" spans="1:33" x14ac:dyDescent="0.3">
      <c r="A36" t="s">
        <v>171</v>
      </c>
      <c r="B36" t="s">
        <v>34</v>
      </c>
      <c r="C36" t="s">
        <v>172</v>
      </c>
      <c r="D36">
        <v>676594.43</v>
      </c>
      <c r="E36" t="s">
        <v>173</v>
      </c>
      <c r="F36">
        <v>17.95</v>
      </c>
      <c r="G36">
        <v>1.1599999666213989</v>
      </c>
      <c r="H36">
        <v>366</v>
      </c>
      <c r="I36">
        <v>0.68000000715255737</v>
      </c>
      <c r="J36" t="s">
        <v>174</v>
      </c>
      <c r="K36">
        <v>8870</v>
      </c>
      <c r="L36">
        <v>6570</v>
      </c>
      <c r="M36">
        <v>-25.93</v>
      </c>
      <c r="N36">
        <v>-0.9</v>
      </c>
      <c r="O36">
        <v>-1.76</v>
      </c>
      <c r="P36">
        <v>-1.29</v>
      </c>
      <c r="Q36">
        <v>-4.6100000000000003</v>
      </c>
      <c r="R36">
        <v>-7.68</v>
      </c>
      <c r="S36">
        <v>-1.47</v>
      </c>
      <c r="T36">
        <v>1.94</v>
      </c>
      <c r="U36">
        <v>1.87</v>
      </c>
      <c r="V36">
        <v>2.48</v>
      </c>
      <c r="W36">
        <v>5.43</v>
      </c>
      <c r="X36">
        <v>2.16</v>
      </c>
      <c r="Y36">
        <v>3.14</v>
      </c>
      <c r="Z36">
        <v>0.46</v>
      </c>
      <c r="AA36">
        <v>0.94</v>
      </c>
      <c r="AB36">
        <v>0.52</v>
      </c>
      <c r="AC36">
        <v>0.85</v>
      </c>
      <c r="AD36">
        <v>3.56</v>
      </c>
      <c r="AE36">
        <v>0.47</v>
      </c>
      <c r="AF36">
        <v>1.1333333333333331</v>
      </c>
      <c r="AG36" t="str">
        <f>HYPERLINK("https://finance.naver.com/item/fchart.naver?code=004830", "덕성 차트보기")</f>
        <v>덕성 차트보기</v>
      </c>
    </row>
    <row r="37" spans="1:33" x14ac:dyDescent="0.3">
      <c r="A37" t="s">
        <v>175</v>
      </c>
      <c r="B37" t="s">
        <v>55</v>
      </c>
      <c r="C37" t="s">
        <v>176</v>
      </c>
      <c r="D37">
        <v>364147.71</v>
      </c>
      <c r="E37" t="s">
        <v>177</v>
      </c>
      <c r="F37">
        <v>0</v>
      </c>
      <c r="G37">
        <v>6.6599998474121094</v>
      </c>
      <c r="H37">
        <v>0</v>
      </c>
      <c r="I37">
        <v>0</v>
      </c>
      <c r="J37" t="s">
        <v>178</v>
      </c>
      <c r="K37">
        <v>9180</v>
      </c>
      <c r="L37">
        <v>10460</v>
      </c>
      <c r="M37">
        <v>13.94</v>
      </c>
      <c r="N37">
        <v>-1.51</v>
      </c>
      <c r="O37">
        <v>9.99</v>
      </c>
      <c r="P37">
        <v>-5.38</v>
      </c>
      <c r="Q37">
        <v>4.42</v>
      </c>
      <c r="R37">
        <v>-3.92</v>
      </c>
      <c r="S37">
        <v>9.1999999999999993</v>
      </c>
      <c r="T37">
        <v>5.1100000000000003</v>
      </c>
      <c r="U37">
        <v>5.28</v>
      </c>
      <c r="V37">
        <v>5.22</v>
      </c>
      <c r="W37">
        <v>4.3600000000000003</v>
      </c>
      <c r="X37">
        <v>3.29</v>
      </c>
      <c r="Y37">
        <v>6.49</v>
      </c>
      <c r="Z37">
        <v>0.3</v>
      </c>
      <c r="AA37">
        <v>1.89</v>
      </c>
      <c r="AB37">
        <v>1.03</v>
      </c>
      <c r="AC37">
        <v>1.01</v>
      </c>
      <c r="AD37">
        <v>1.19</v>
      </c>
      <c r="AE37">
        <v>1.42</v>
      </c>
      <c r="AF37">
        <v>1.1399999999999999</v>
      </c>
      <c r="AG37" t="str">
        <f>HYPERLINK("https://finance.naver.com/item/fchart.naver?code=338840", "와이바이오로직스 차트보기")</f>
        <v>와이바이오로직스 차트보기</v>
      </c>
    </row>
    <row r="38" spans="1:33" x14ac:dyDescent="0.3">
      <c r="A38" t="s">
        <v>179</v>
      </c>
      <c r="B38" t="s">
        <v>55</v>
      </c>
      <c r="C38" t="s">
        <v>180</v>
      </c>
      <c r="D38">
        <v>11897.52</v>
      </c>
      <c r="E38" t="s">
        <v>181</v>
      </c>
      <c r="F38">
        <v>0</v>
      </c>
      <c r="G38">
        <v>1.0099999904632571</v>
      </c>
      <c r="H38">
        <v>0</v>
      </c>
      <c r="I38">
        <v>0</v>
      </c>
      <c r="J38" t="s">
        <v>182</v>
      </c>
      <c r="K38">
        <v>3065</v>
      </c>
      <c r="L38">
        <v>2300</v>
      </c>
      <c r="M38">
        <v>-24.96</v>
      </c>
      <c r="N38">
        <v>-1.5</v>
      </c>
      <c r="O38">
        <v>-2.92</v>
      </c>
      <c r="P38">
        <v>2.86</v>
      </c>
      <c r="Q38">
        <v>-10.57</v>
      </c>
      <c r="R38">
        <v>-0.71</v>
      </c>
      <c r="S38">
        <v>-0.17</v>
      </c>
      <c r="T38">
        <v>0.99</v>
      </c>
      <c r="U38">
        <v>2.0499999999999998</v>
      </c>
      <c r="V38">
        <v>2.11</v>
      </c>
      <c r="W38">
        <v>5.69</v>
      </c>
      <c r="X38">
        <v>1.1499999999999999</v>
      </c>
      <c r="Y38">
        <v>1.86</v>
      </c>
      <c r="Z38">
        <v>1.52</v>
      </c>
      <c r="AA38">
        <v>1.42</v>
      </c>
      <c r="AB38">
        <v>1.36</v>
      </c>
      <c r="AC38">
        <v>1.86</v>
      </c>
      <c r="AD38">
        <v>0.62</v>
      </c>
      <c r="AE38">
        <v>0.09</v>
      </c>
      <c r="AF38">
        <v>1.145</v>
      </c>
      <c r="AG38" t="str">
        <f>HYPERLINK("https://finance.naver.com/item/fchart.naver?code=096870", "엘디티 차트보기")</f>
        <v>엘디티 차트보기</v>
      </c>
    </row>
    <row r="39" spans="1:33" x14ac:dyDescent="0.3">
      <c r="A39" t="s">
        <v>183</v>
      </c>
      <c r="B39" t="s">
        <v>55</v>
      </c>
      <c r="C39" t="s">
        <v>184</v>
      </c>
      <c r="D39">
        <v>6681.9</v>
      </c>
      <c r="E39" t="s">
        <v>185</v>
      </c>
      <c r="F39">
        <v>0</v>
      </c>
      <c r="G39">
        <v>0</v>
      </c>
      <c r="H39">
        <v>0</v>
      </c>
      <c r="I39">
        <v>0</v>
      </c>
      <c r="J39" t="s">
        <v>186</v>
      </c>
      <c r="K39">
        <v>2220</v>
      </c>
      <c r="L39">
        <v>2175</v>
      </c>
      <c r="M39">
        <v>-2.0299999999999998</v>
      </c>
      <c r="N39">
        <v>-1.1399999999999999</v>
      </c>
      <c r="O39">
        <v>0.45</v>
      </c>
      <c r="P39">
        <v>0.91</v>
      </c>
      <c r="Q39">
        <v>-1.1299999999999999</v>
      </c>
      <c r="R39">
        <v>0.23</v>
      </c>
      <c r="S39">
        <v>0.46</v>
      </c>
      <c r="T39">
        <v>0.73</v>
      </c>
      <c r="U39">
        <v>0.56999999999999995</v>
      </c>
      <c r="V39">
        <v>0.7</v>
      </c>
      <c r="W39">
        <v>0.88</v>
      </c>
      <c r="X39">
        <v>0.56000000000000005</v>
      </c>
      <c r="Y39">
        <v>0.3</v>
      </c>
      <c r="Z39">
        <v>1.56</v>
      </c>
      <c r="AA39">
        <v>0.79</v>
      </c>
      <c r="AB39">
        <v>1.3</v>
      </c>
      <c r="AC39">
        <v>1.28</v>
      </c>
      <c r="AD39">
        <v>0.41</v>
      </c>
      <c r="AE39">
        <v>1.53</v>
      </c>
      <c r="AF39">
        <v>1.145</v>
      </c>
      <c r="AG39" t="str">
        <f>HYPERLINK("https://finance.naver.com/item/fchart.naver?code=469480", "IBKS제24호스팩 차트보기")</f>
        <v>IBKS제24호스팩 차트보기</v>
      </c>
    </row>
    <row r="40" spans="1:33" x14ac:dyDescent="0.3">
      <c r="A40" t="s">
        <v>187</v>
      </c>
      <c r="B40" t="s">
        <v>34</v>
      </c>
      <c r="C40" t="s">
        <v>188</v>
      </c>
      <c r="D40">
        <v>2209.86</v>
      </c>
      <c r="E40" t="s">
        <v>189</v>
      </c>
      <c r="F40">
        <v>4.6100000000000003</v>
      </c>
      <c r="G40">
        <v>0.40000000596046448</v>
      </c>
      <c r="H40">
        <v>54991</v>
      </c>
      <c r="I40">
        <v>1.970000028610229</v>
      </c>
      <c r="J40" t="s">
        <v>190</v>
      </c>
      <c r="K40">
        <v>264500</v>
      </c>
      <c r="L40">
        <v>253500</v>
      </c>
      <c r="M40">
        <v>-4.16</v>
      </c>
      <c r="N40">
        <v>-0.2</v>
      </c>
      <c r="O40">
        <v>0</v>
      </c>
      <c r="P40">
        <v>-0.2</v>
      </c>
      <c r="Q40">
        <v>-2.52</v>
      </c>
      <c r="R40">
        <v>0.39</v>
      </c>
      <c r="S40">
        <v>4.8899999999999997</v>
      </c>
      <c r="T40">
        <v>0.36</v>
      </c>
      <c r="U40">
        <v>1.42</v>
      </c>
      <c r="V40">
        <v>0.85</v>
      </c>
      <c r="W40">
        <v>1.63</v>
      </c>
      <c r="X40">
        <v>0.88</v>
      </c>
      <c r="Y40">
        <v>1.1599999999999999</v>
      </c>
      <c r="Z40">
        <v>0.56000000000000005</v>
      </c>
      <c r="AA40">
        <v>0</v>
      </c>
      <c r="AB40">
        <v>0.24</v>
      </c>
      <c r="AC40">
        <v>1.55</v>
      </c>
      <c r="AD40">
        <v>0.44</v>
      </c>
      <c r="AE40">
        <v>4.22</v>
      </c>
      <c r="AF40">
        <v>1.168333333333333</v>
      </c>
      <c r="AG40" t="str">
        <f>HYPERLINK("https://finance.naver.com/item/fchart.naver?code=002030", "아세아 차트보기")</f>
        <v>아세아 차트보기</v>
      </c>
    </row>
    <row r="41" spans="1:33" x14ac:dyDescent="0.3">
      <c r="A41" t="s">
        <v>191</v>
      </c>
      <c r="B41" t="s">
        <v>34</v>
      </c>
      <c r="C41" t="s">
        <v>192</v>
      </c>
      <c r="D41">
        <v>209.48</v>
      </c>
      <c r="E41" t="s">
        <v>193</v>
      </c>
      <c r="F41">
        <v>0</v>
      </c>
      <c r="G41">
        <v>0</v>
      </c>
      <c r="H41">
        <v>0</v>
      </c>
      <c r="I41">
        <v>6.320000171661377</v>
      </c>
      <c r="J41" t="s">
        <v>194</v>
      </c>
      <c r="K41">
        <v>56000</v>
      </c>
      <c r="L41">
        <v>56200</v>
      </c>
      <c r="M41">
        <v>0.36</v>
      </c>
      <c r="N41">
        <v>0.36</v>
      </c>
      <c r="O41">
        <v>-0.36</v>
      </c>
      <c r="P41">
        <v>2.94</v>
      </c>
      <c r="Q41">
        <v>0.74</v>
      </c>
      <c r="R41">
        <v>-1.99</v>
      </c>
      <c r="S41">
        <v>0.18</v>
      </c>
      <c r="T41">
        <v>0.62</v>
      </c>
      <c r="U41">
        <v>0.57999999999999996</v>
      </c>
      <c r="V41">
        <v>1.19</v>
      </c>
      <c r="W41">
        <v>1.26</v>
      </c>
      <c r="X41">
        <v>0.85</v>
      </c>
      <c r="Y41">
        <v>0.43</v>
      </c>
      <c r="Z41">
        <v>0.57999999999999996</v>
      </c>
      <c r="AA41">
        <v>0.62</v>
      </c>
      <c r="AB41">
        <v>2.4700000000000002</v>
      </c>
      <c r="AC41">
        <v>0.59</v>
      </c>
      <c r="AD41">
        <v>2.34</v>
      </c>
      <c r="AE41">
        <v>0.42</v>
      </c>
      <c r="AF41">
        <v>1.17</v>
      </c>
      <c r="AG41" t="str">
        <f>HYPERLINK("https://finance.naver.com/item/fchart.naver?code=000075", "삼양홀딩스우 차트보기")</f>
        <v>삼양홀딩스우 차트보기</v>
      </c>
    </row>
    <row r="42" spans="1:33" x14ac:dyDescent="0.3">
      <c r="A42" t="s">
        <v>195</v>
      </c>
      <c r="B42" t="s">
        <v>55</v>
      </c>
      <c r="C42" t="s">
        <v>196</v>
      </c>
      <c r="D42">
        <v>33901.67</v>
      </c>
      <c r="E42" t="s">
        <v>197</v>
      </c>
      <c r="F42">
        <v>6.23</v>
      </c>
      <c r="G42">
        <v>0.46000000834465032</v>
      </c>
      <c r="H42">
        <v>1705</v>
      </c>
      <c r="I42">
        <v>2.3499999046325679</v>
      </c>
      <c r="J42" t="s">
        <v>198</v>
      </c>
      <c r="K42">
        <v>8860</v>
      </c>
      <c r="L42">
        <v>10630</v>
      </c>
      <c r="M42">
        <v>19.98</v>
      </c>
      <c r="N42">
        <v>-1.48</v>
      </c>
      <c r="O42">
        <v>0.28000000000000003</v>
      </c>
      <c r="P42">
        <v>13.85</v>
      </c>
      <c r="Q42">
        <v>1.71</v>
      </c>
      <c r="R42">
        <v>-0.97</v>
      </c>
      <c r="S42">
        <v>-0.11</v>
      </c>
      <c r="T42">
        <v>2.36</v>
      </c>
      <c r="U42">
        <v>2.15</v>
      </c>
      <c r="V42">
        <v>2.63</v>
      </c>
      <c r="W42">
        <v>3.46</v>
      </c>
      <c r="X42">
        <v>2.2799999999999998</v>
      </c>
      <c r="Y42">
        <v>1.29</v>
      </c>
      <c r="Z42">
        <v>0.63</v>
      </c>
      <c r="AA42">
        <v>0.13</v>
      </c>
      <c r="AB42">
        <v>5.27</v>
      </c>
      <c r="AC42">
        <v>0.49</v>
      </c>
      <c r="AD42">
        <v>0.43</v>
      </c>
      <c r="AE42">
        <v>0.09</v>
      </c>
      <c r="AF42">
        <v>1.1733333333333329</v>
      </c>
      <c r="AG42" t="str">
        <f>HYPERLINK("https://finance.naver.com/item/fchart.naver?code=049430", "코메론 차트보기")</f>
        <v>코메론 차트보기</v>
      </c>
    </row>
    <row r="43" spans="1:33" x14ac:dyDescent="0.3">
      <c r="A43" t="s">
        <v>199</v>
      </c>
      <c r="B43" t="s">
        <v>34</v>
      </c>
      <c r="C43" t="s">
        <v>200</v>
      </c>
      <c r="D43">
        <v>411.24</v>
      </c>
      <c r="E43" t="s">
        <v>201</v>
      </c>
      <c r="F43">
        <v>0</v>
      </c>
      <c r="G43">
        <v>0</v>
      </c>
      <c r="H43">
        <v>0</v>
      </c>
      <c r="I43">
        <v>5.3499999046325684</v>
      </c>
      <c r="J43" t="s">
        <v>202</v>
      </c>
      <c r="K43">
        <v>12000</v>
      </c>
      <c r="L43">
        <v>11220</v>
      </c>
      <c r="M43">
        <v>-6.5</v>
      </c>
      <c r="N43">
        <v>-0.88</v>
      </c>
      <c r="O43">
        <v>-2.59</v>
      </c>
      <c r="P43">
        <v>-1.86</v>
      </c>
      <c r="Q43">
        <v>-2.2400000000000002</v>
      </c>
      <c r="R43">
        <v>-0.25</v>
      </c>
      <c r="S43">
        <v>0</v>
      </c>
      <c r="T43">
        <v>0.52</v>
      </c>
      <c r="U43">
        <v>0.85</v>
      </c>
      <c r="V43">
        <v>2.0099999999999998</v>
      </c>
      <c r="W43">
        <v>1.6</v>
      </c>
      <c r="X43">
        <v>1.55</v>
      </c>
      <c r="Y43">
        <v>1.61</v>
      </c>
      <c r="Z43">
        <v>1.69</v>
      </c>
      <c r="AA43">
        <v>3.05</v>
      </c>
      <c r="AB43">
        <v>0.93</v>
      </c>
      <c r="AC43">
        <v>1.4</v>
      </c>
      <c r="AD43">
        <v>0.16</v>
      </c>
      <c r="AE43">
        <v>0</v>
      </c>
      <c r="AF43">
        <v>1.2050000000000001</v>
      </c>
      <c r="AG43" t="str">
        <f>HYPERLINK("https://finance.naver.com/item/fchart.naver?code=000145", "하이트진로홀딩스우 차트보기")</f>
        <v>하이트진로홀딩스우 차트보기</v>
      </c>
    </row>
    <row r="44" spans="1:33" x14ac:dyDescent="0.3">
      <c r="A44" t="s">
        <v>203</v>
      </c>
      <c r="B44" t="s">
        <v>55</v>
      </c>
      <c r="C44" t="s">
        <v>204</v>
      </c>
      <c r="D44">
        <v>18474.810000000001</v>
      </c>
      <c r="E44" t="s">
        <v>205</v>
      </c>
      <c r="F44">
        <v>14.94</v>
      </c>
      <c r="G44">
        <v>0.8399999737739563</v>
      </c>
      <c r="H44">
        <v>921</v>
      </c>
      <c r="I44">
        <v>3.2699999809265141</v>
      </c>
      <c r="J44" t="s">
        <v>206</v>
      </c>
      <c r="K44">
        <v>12670</v>
      </c>
      <c r="L44">
        <v>13760</v>
      </c>
      <c r="M44">
        <v>8.6</v>
      </c>
      <c r="N44">
        <v>-0.86</v>
      </c>
      <c r="O44">
        <v>0</v>
      </c>
      <c r="P44">
        <v>-2.4</v>
      </c>
      <c r="Q44">
        <v>0.71</v>
      </c>
      <c r="R44">
        <v>4.6900000000000004</v>
      </c>
      <c r="S44">
        <v>8.83</v>
      </c>
      <c r="T44">
        <v>1.79</v>
      </c>
      <c r="U44">
        <v>1.25</v>
      </c>
      <c r="V44">
        <v>1.46</v>
      </c>
      <c r="W44">
        <v>2.79</v>
      </c>
      <c r="X44">
        <v>3.82</v>
      </c>
      <c r="Y44">
        <v>2.41</v>
      </c>
      <c r="Z44">
        <v>0.48</v>
      </c>
      <c r="AA44">
        <v>0</v>
      </c>
      <c r="AB44">
        <v>1.64</v>
      </c>
      <c r="AC44">
        <v>0.25</v>
      </c>
      <c r="AD44">
        <v>1.23</v>
      </c>
      <c r="AE44">
        <v>3.66</v>
      </c>
      <c r="AF44">
        <v>1.21</v>
      </c>
      <c r="AG44" t="str">
        <f>HYPERLINK("https://finance.naver.com/item/fchart.naver?code=049960", "쎌바이오텍 차트보기")</f>
        <v>쎌바이오텍 차트보기</v>
      </c>
    </row>
    <row r="45" spans="1:33" x14ac:dyDescent="0.3">
      <c r="A45" t="s">
        <v>207</v>
      </c>
      <c r="B45" t="s">
        <v>34</v>
      </c>
      <c r="C45" t="s">
        <v>208</v>
      </c>
      <c r="D45">
        <v>3707.38</v>
      </c>
      <c r="E45" t="s">
        <v>209</v>
      </c>
      <c r="F45">
        <v>3.38</v>
      </c>
      <c r="G45">
        <v>0.34000000357627869</v>
      </c>
      <c r="H45">
        <v>13643</v>
      </c>
      <c r="I45">
        <v>6.5100002288818359</v>
      </c>
      <c r="J45" t="s">
        <v>210</v>
      </c>
      <c r="K45">
        <v>44950</v>
      </c>
      <c r="L45">
        <v>46100</v>
      </c>
      <c r="M45">
        <v>2.56</v>
      </c>
      <c r="N45">
        <v>-1.28</v>
      </c>
      <c r="O45">
        <v>-0.84</v>
      </c>
      <c r="P45">
        <v>-0.31</v>
      </c>
      <c r="Q45">
        <v>0</v>
      </c>
      <c r="R45">
        <v>-1.54</v>
      </c>
      <c r="S45">
        <v>4.38</v>
      </c>
      <c r="T45">
        <v>0.76</v>
      </c>
      <c r="U45">
        <v>0.84</v>
      </c>
      <c r="V45">
        <v>0.86</v>
      </c>
      <c r="W45">
        <v>1.1000000000000001</v>
      </c>
      <c r="X45">
        <v>1.21</v>
      </c>
      <c r="Y45">
        <v>1.44</v>
      </c>
      <c r="Z45">
        <v>1.68</v>
      </c>
      <c r="AA45">
        <v>1</v>
      </c>
      <c r="AB45">
        <v>0.36</v>
      </c>
      <c r="AC45">
        <v>0</v>
      </c>
      <c r="AD45">
        <v>1.27</v>
      </c>
      <c r="AE45">
        <v>3.04</v>
      </c>
      <c r="AF45">
        <v>1.2250000000000001</v>
      </c>
      <c r="AG45" t="str">
        <f>HYPERLINK("https://finance.naver.com/item/fchart.naver?code=025000", "KPX케미칼 차트보기")</f>
        <v>KPX케미칼 차트보기</v>
      </c>
    </row>
    <row r="46" spans="1:33" x14ac:dyDescent="0.3">
      <c r="A46" t="s">
        <v>211</v>
      </c>
      <c r="B46" t="s">
        <v>34</v>
      </c>
      <c r="C46" t="s">
        <v>212</v>
      </c>
      <c r="D46">
        <v>8666.33</v>
      </c>
      <c r="E46" t="s">
        <v>213</v>
      </c>
      <c r="F46">
        <v>0</v>
      </c>
      <c r="G46">
        <v>0</v>
      </c>
      <c r="H46">
        <v>0</v>
      </c>
      <c r="I46">
        <v>4.0399999618530273</v>
      </c>
      <c r="J46" t="s">
        <v>214</v>
      </c>
      <c r="K46">
        <v>2775</v>
      </c>
      <c r="L46">
        <v>2600</v>
      </c>
      <c r="M46">
        <v>-6.31</v>
      </c>
      <c r="N46">
        <v>-3.53</v>
      </c>
      <c r="O46">
        <v>0.38</v>
      </c>
      <c r="P46">
        <v>0.77</v>
      </c>
      <c r="Q46">
        <v>-1.33</v>
      </c>
      <c r="R46">
        <v>-0.94</v>
      </c>
      <c r="S46">
        <v>-2.02</v>
      </c>
      <c r="T46">
        <v>1.45</v>
      </c>
      <c r="U46">
        <v>0.91</v>
      </c>
      <c r="V46">
        <v>1.1399999999999999</v>
      </c>
      <c r="W46">
        <v>1.95</v>
      </c>
      <c r="X46">
        <v>1.21</v>
      </c>
      <c r="Y46">
        <v>0.85</v>
      </c>
      <c r="Z46">
        <v>2.4300000000000002</v>
      </c>
      <c r="AA46">
        <v>0.42</v>
      </c>
      <c r="AB46">
        <v>0.68</v>
      </c>
      <c r="AC46">
        <v>0.68</v>
      </c>
      <c r="AD46">
        <v>0.78</v>
      </c>
      <c r="AE46">
        <v>2.38</v>
      </c>
      <c r="AF46">
        <v>1.2283333333333331</v>
      </c>
      <c r="AG46" t="str">
        <f>HYPERLINK("https://finance.naver.com/item/fchart.naver?code=004255", "NPC우 차트보기")</f>
        <v>NPC우 차트보기</v>
      </c>
    </row>
    <row r="47" spans="1:33" x14ac:dyDescent="0.3">
      <c r="A47" t="s">
        <v>215</v>
      </c>
      <c r="B47" t="s">
        <v>34</v>
      </c>
      <c r="C47" t="s">
        <v>216</v>
      </c>
      <c r="D47">
        <v>5197.57</v>
      </c>
      <c r="E47" t="s">
        <v>217</v>
      </c>
      <c r="F47">
        <v>4.6500000000000004</v>
      </c>
      <c r="G47">
        <v>0.37000000476837158</v>
      </c>
      <c r="H47">
        <v>569</v>
      </c>
      <c r="I47">
        <v>5.6700000762939453</v>
      </c>
      <c r="J47" t="s">
        <v>218</v>
      </c>
      <c r="K47">
        <v>3015</v>
      </c>
      <c r="L47">
        <v>2645</v>
      </c>
      <c r="M47">
        <v>-12.27</v>
      </c>
      <c r="N47">
        <v>-5.87</v>
      </c>
      <c r="O47">
        <v>-1.42</v>
      </c>
      <c r="P47">
        <v>-0.53</v>
      </c>
      <c r="Q47">
        <v>-3.45</v>
      </c>
      <c r="R47">
        <v>-0.5</v>
      </c>
      <c r="S47">
        <v>-0.82</v>
      </c>
      <c r="T47">
        <v>2.15</v>
      </c>
      <c r="U47">
        <v>1.05</v>
      </c>
      <c r="V47">
        <v>1.02</v>
      </c>
      <c r="W47">
        <v>3.11</v>
      </c>
      <c r="X47">
        <v>0.52</v>
      </c>
      <c r="Y47">
        <v>1.1599999999999999</v>
      </c>
      <c r="Z47">
        <v>2.73</v>
      </c>
      <c r="AA47">
        <v>1.35</v>
      </c>
      <c r="AB47">
        <v>0.52</v>
      </c>
      <c r="AC47">
        <v>1.1100000000000001</v>
      </c>
      <c r="AD47">
        <v>0.96</v>
      </c>
      <c r="AE47">
        <v>0.71</v>
      </c>
      <c r="AF47">
        <v>1.23</v>
      </c>
      <c r="AG47" t="str">
        <f>HYPERLINK("https://finance.naver.com/item/fchart.naver?code=010770", "평화홀딩스 차트보기")</f>
        <v>평화홀딩스 차트보기</v>
      </c>
    </row>
    <row r="48" spans="1:33" x14ac:dyDescent="0.3">
      <c r="A48" t="s">
        <v>219</v>
      </c>
      <c r="B48" t="s">
        <v>55</v>
      </c>
      <c r="C48" t="s">
        <v>220</v>
      </c>
      <c r="D48">
        <v>121856.52</v>
      </c>
      <c r="E48" t="s">
        <v>221</v>
      </c>
      <c r="F48">
        <v>29.5</v>
      </c>
      <c r="G48">
        <v>2.6099998950958252</v>
      </c>
      <c r="H48">
        <v>502</v>
      </c>
      <c r="I48">
        <v>0</v>
      </c>
      <c r="J48" t="s">
        <v>222</v>
      </c>
      <c r="K48">
        <v>14825</v>
      </c>
      <c r="L48">
        <v>14810</v>
      </c>
      <c r="M48">
        <v>-0.1</v>
      </c>
      <c r="N48">
        <v>-2.76</v>
      </c>
      <c r="O48">
        <v>-7.72</v>
      </c>
      <c r="P48">
        <v>2.0299999999999998</v>
      </c>
      <c r="Q48">
        <v>-7.14</v>
      </c>
      <c r="R48">
        <v>1.1299999999999999</v>
      </c>
      <c r="S48">
        <v>10.94</v>
      </c>
      <c r="T48">
        <v>2.81</v>
      </c>
      <c r="U48">
        <v>4.37</v>
      </c>
      <c r="V48">
        <v>3.85</v>
      </c>
      <c r="W48">
        <v>4.66</v>
      </c>
      <c r="X48">
        <v>8.7799999999999994</v>
      </c>
      <c r="Y48">
        <v>4.45</v>
      </c>
      <c r="Z48">
        <v>0.98</v>
      </c>
      <c r="AA48">
        <v>1.77</v>
      </c>
      <c r="AB48">
        <v>0.53</v>
      </c>
      <c r="AC48">
        <v>1.53</v>
      </c>
      <c r="AD48">
        <v>0.13</v>
      </c>
      <c r="AE48">
        <v>2.46</v>
      </c>
      <c r="AF48">
        <v>1.2333333333333329</v>
      </c>
      <c r="AG48" t="str">
        <f>HYPERLINK("https://finance.naver.com/item/fchart.naver?code=432470", "케이엔에스 차트보기")</f>
        <v>케이엔에스 차트보기</v>
      </c>
    </row>
    <row r="49" spans="1:33" x14ac:dyDescent="0.3">
      <c r="A49" t="s">
        <v>223</v>
      </c>
      <c r="B49" t="s">
        <v>55</v>
      </c>
      <c r="C49" t="s">
        <v>224</v>
      </c>
      <c r="D49">
        <v>1001904.86</v>
      </c>
      <c r="E49" t="s">
        <v>225</v>
      </c>
      <c r="F49">
        <v>11.54</v>
      </c>
      <c r="G49">
        <v>0.62000000476837158</v>
      </c>
      <c r="H49">
        <v>301</v>
      </c>
      <c r="I49">
        <v>0</v>
      </c>
      <c r="J49" t="s">
        <v>226</v>
      </c>
      <c r="K49">
        <v>3905</v>
      </c>
      <c r="L49">
        <v>3475</v>
      </c>
      <c r="M49">
        <v>-11.01</v>
      </c>
      <c r="N49">
        <v>2.21</v>
      </c>
      <c r="O49">
        <v>-1.01</v>
      </c>
      <c r="P49">
        <v>-2.86</v>
      </c>
      <c r="Q49">
        <v>-4.96</v>
      </c>
      <c r="R49">
        <v>-1.27</v>
      </c>
      <c r="S49">
        <v>-0.75</v>
      </c>
      <c r="T49">
        <v>1.77</v>
      </c>
      <c r="U49">
        <v>1.22</v>
      </c>
      <c r="V49">
        <v>1.68</v>
      </c>
      <c r="W49">
        <v>3.05</v>
      </c>
      <c r="X49">
        <v>0.93</v>
      </c>
      <c r="Y49">
        <v>1.21</v>
      </c>
      <c r="Z49">
        <v>1.25</v>
      </c>
      <c r="AA49">
        <v>0.83</v>
      </c>
      <c r="AB49">
        <v>1.7</v>
      </c>
      <c r="AC49">
        <v>1.63</v>
      </c>
      <c r="AD49">
        <v>1.37</v>
      </c>
      <c r="AE49">
        <v>0.62</v>
      </c>
      <c r="AF49">
        <v>1.2333333333333329</v>
      </c>
      <c r="AG49" t="str">
        <f>HYPERLINK("https://finance.naver.com/item/fchart.naver?code=086060", "진바이오텍 차트보기")</f>
        <v>진바이오텍 차트보기</v>
      </c>
    </row>
    <row r="50" spans="1:33" x14ac:dyDescent="0.3">
      <c r="A50" t="s">
        <v>227</v>
      </c>
      <c r="B50" t="s">
        <v>55</v>
      </c>
      <c r="C50" t="s">
        <v>228</v>
      </c>
      <c r="D50">
        <v>48326.57</v>
      </c>
      <c r="E50" t="s">
        <v>229</v>
      </c>
      <c r="F50">
        <v>9.91</v>
      </c>
      <c r="G50">
        <v>1.720000028610229</v>
      </c>
      <c r="H50">
        <v>180</v>
      </c>
      <c r="I50">
        <v>1.120000004768372</v>
      </c>
      <c r="J50" t="s">
        <v>230</v>
      </c>
      <c r="K50">
        <v>2045</v>
      </c>
      <c r="L50">
        <v>1783</v>
      </c>
      <c r="M50">
        <v>-12.81</v>
      </c>
      <c r="N50">
        <v>-0.89</v>
      </c>
      <c r="O50">
        <v>0.56000000000000005</v>
      </c>
      <c r="P50">
        <v>-1.33</v>
      </c>
      <c r="Q50">
        <v>-0.49</v>
      </c>
      <c r="R50">
        <v>-4.5599999999999996</v>
      </c>
      <c r="S50">
        <v>-0.76</v>
      </c>
      <c r="T50">
        <v>1.38</v>
      </c>
      <c r="U50">
        <v>1.1100000000000001</v>
      </c>
      <c r="V50">
        <v>1.64</v>
      </c>
      <c r="W50">
        <v>2.98</v>
      </c>
      <c r="X50">
        <v>1</v>
      </c>
      <c r="Y50">
        <v>1.01</v>
      </c>
      <c r="Z50">
        <v>0.64</v>
      </c>
      <c r="AA50">
        <v>0.5</v>
      </c>
      <c r="AB50">
        <v>0.81</v>
      </c>
      <c r="AC50">
        <v>0.16</v>
      </c>
      <c r="AD50">
        <v>4.5599999999999996</v>
      </c>
      <c r="AE50">
        <v>0.75</v>
      </c>
      <c r="AF50">
        <v>1.236666666666667</v>
      </c>
      <c r="AG50" t="str">
        <f>HYPERLINK("https://finance.naver.com/item/fchart.naver?code=339950", "아이비김영 차트보기")</f>
        <v>아이비김영 차트보기</v>
      </c>
    </row>
    <row r="51" spans="1:33" x14ac:dyDescent="0.3">
      <c r="A51" t="s">
        <v>231</v>
      </c>
      <c r="B51" t="s">
        <v>34</v>
      </c>
      <c r="C51" t="s">
        <v>232</v>
      </c>
      <c r="D51">
        <v>64891.86</v>
      </c>
      <c r="E51" t="s">
        <v>233</v>
      </c>
      <c r="F51">
        <v>8.76</v>
      </c>
      <c r="G51">
        <v>0.40999999642372131</v>
      </c>
      <c r="H51">
        <v>1975</v>
      </c>
      <c r="I51">
        <v>4.0500001907348633</v>
      </c>
      <c r="J51" t="s">
        <v>234</v>
      </c>
      <c r="K51">
        <v>14980</v>
      </c>
      <c r="L51">
        <v>17300</v>
      </c>
      <c r="M51">
        <v>15.49</v>
      </c>
      <c r="N51">
        <v>1.59</v>
      </c>
      <c r="O51">
        <v>-1.47</v>
      </c>
      <c r="P51">
        <v>3.01</v>
      </c>
      <c r="Q51">
        <v>5.12</v>
      </c>
      <c r="R51">
        <v>2.41</v>
      </c>
      <c r="S51">
        <v>-0.59</v>
      </c>
      <c r="T51">
        <v>2.4500000000000002</v>
      </c>
      <c r="U51">
        <v>1.74</v>
      </c>
      <c r="V51">
        <v>2.6</v>
      </c>
      <c r="W51">
        <v>2.77</v>
      </c>
      <c r="X51">
        <v>0.98</v>
      </c>
      <c r="Y51">
        <v>1.26</v>
      </c>
      <c r="Z51">
        <v>0.65</v>
      </c>
      <c r="AA51">
        <v>0.84</v>
      </c>
      <c r="AB51">
        <v>1.1599999999999999</v>
      </c>
      <c r="AC51">
        <v>1.85</v>
      </c>
      <c r="AD51">
        <v>2.46</v>
      </c>
      <c r="AE51">
        <v>0.47</v>
      </c>
      <c r="AF51">
        <v>1.2383333333333331</v>
      </c>
      <c r="AG51" t="str">
        <f>HYPERLINK("https://finance.naver.com/item/fchart.naver?code=000240", "한국앤컴퍼니 차트보기")</f>
        <v>한국앤컴퍼니 차트보기</v>
      </c>
    </row>
    <row r="52" spans="1:33" x14ac:dyDescent="0.3">
      <c r="A52" t="s">
        <v>235</v>
      </c>
      <c r="B52" t="s">
        <v>55</v>
      </c>
      <c r="C52" t="s">
        <v>236</v>
      </c>
      <c r="D52">
        <v>70304.95</v>
      </c>
      <c r="E52" t="s">
        <v>237</v>
      </c>
      <c r="F52">
        <v>3931.82</v>
      </c>
      <c r="G52">
        <v>1.580000042915344</v>
      </c>
      <c r="H52">
        <v>11</v>
      </c>
      <c r="I52">
        <v>0</v>
      </c>
      <c r="J52" t="s">
        <v>238</v>
      </c>
      <c r="K52">
        <v>72900</v>
      </c>
      <c r="L52">
        <v>43250</v>
      </c>
      <c r="M52">
        <v>-40.67</v>
      </c>
      <c r="N52">
        <v>-14.02</v>
      </c>
      <c r="O52">
        <v>1.2</v>
      </c>
      <c r="P52">
        <v>1.96</v>
      </c>
      <c r="Q52">
        <v>-2.4</v>
      </c>
      <c r="R52">
        <v>-14.33</v>
      </c>
      <c r="S52">
        <v>-0.99</v>
      </c>
      <c r="T52">
        <v>4.16</v>
      </c>
      <c r="U52">
        <v>2.97</v>
      </c>
      <c r="V52">
        <v>4.95</v>
      </c>
      <c r="W52">
        <v>5.56</v>
      </c>
      <c r="X52">
        <v>5.55</v>
      </c>
      <c r="Y52">
        <v>3.45</v>
      </c>
      <c r="Z52">
        <v>3.37</v>
      </c>
      <c r="AA52">
        <v>0.4</v>
      </c>
      <c r="AB52">
        <v>0.4</v>
      </c>
      <c r="AC52">
        <v>0.43</v>
      </c>
      <c r="AD52">
        <v>2.58</v>
      </c>
      <c r="AE52">
        <v>0.28999999999999998</v>
      </c>
      <c r="AF52">
        <v>1.2450000000000001</v>
      </c>
      <c r="AG52" t="str">
        <f>HYPERLINK("https://finance.naver.com/item/fchart.naver?code=131290", "티에스이 차트보기")</f>
        <v>티에스이 차트보기</v>
      </c>
    </row>
    <row r="53" spans="1:33" x14ac:dyDescent="0.3">
      <c r="A53" t="s">
        <v>239</v>
      </c>
      <c r="B53" t="s">
        <v>34</v>
      </c>
      <c r="C53" t="s">
        <v>240</v>
      </c>
      <c r="D53">
        <v>87641.43</v>
      </c>
      <c r="E53" t="s">
        <v>241</v>
      </c>
      <c r="F53">
        <v>169.59</v>
      </c>
      <c r="G53">
        <v>2.2300000190734859</v>
      </c>
      <c r="H53">
        <v>291</v>
      </c>
      <c r="I53">
        <v>0</v>
      </c>
      <c r="J53" t="s">
        <v>242</v>
      </c>
      <c r="K53">
        <v>60100</v>
      </c>
      <c r="L53">
        <v>49350</v>
      </c>
      <c r="M53">
        <v>-17.89</v>
      </c>
      <c r="N53">
        <v>-6.53</v>
      </c>
      <c r="O53">
        <v>1.1200000000000001</v>
      </c>
      <c r="P53">
        <v>2.97</v>
      </c>
      <c r="Q53">
        <v>0</v>
      </c>
      <c r="R53">
        <v>3.16</v>
      </c>
      <c r="S53">
        <v>1.74</v>
      </c>
      <c r="T53">
        <v>1.92</v>
      </c>
      <c r="U53">
        <v>2.44</v>
      </c>
      <c r="V53">
        <v>2.4900000000000002</v>
      </c>
      <c r="W53">
        <v>3.96</v>
      </c>
      <c r="X53">
        <v>1.8</v>
      </c>
      <c r="Y53">
        <v>2.4300000000000002</v>
      </c>
      <c r="Z53">
        <v>3.4</v>
      </c>
      <c r="AA53">
        <v>0.46</v>
      </c>
      <c r="AB53">
        <v>1.19</v>
      </c>
      <c r="AC53">
        <v>0</v>
      </c>
      <c r="AD53">
        <v>1.76</v>
      </c>
      <c r="AE53">
        <v>0.72</v>
      </c>
      <c r="AF53">
        <v>1.2549999999999999</v>
      </c>
      <c r="AG53" t="str">
        <f>HYPERLINK("https://finance.naver.com/item/fchart.naver?code=302440", "SK바이오사이언스 차트보기")</f>
        <v>SK바이오사이언스 차트보기</v>
      </c>
    </row>
    <row r="54" spans="1:33" x14ac:dyDescent="0.3">
      <c r="A54" t="s">
        <v>243</v>
      </c>
      <c r="B54" t="s">
        <v>55</v>
      </c>
      <c r="C54" t="s">
        <v>244</v>
      </c>
      <c r="D54">
        <v>8932.6200000000008</v>
      </c>
      <c r="E54" t="s">
        <v>245</v>
      </c>
      <c r="F54">
        <v>9.56</v>
      </c>
      <c r="G54">
        <v>1.059999942779541</v>
      </c>
      <c r="H54">
        <v>838</v>
      </c>
      <c r="I54">
        <v>0</v>
      </c>
      <c r="J54" t="s">
        <v>246</v>
      </c>
      <c r="K54">
        <v>8670</v>
      </c>
      <c r="L54">
        <v>8010</v>
      </c>
      <c r="M54">
        <v>-7.61</v>
      </c>
      <c r="N54">
        <v>-0.87</v>
      </c>
      <c r="O54">
        <v>-2.88</v>
      </c>
      <c r="P54">
        <v>0.96</v>
      </c>
      <c r="Q54">
        <v>-0.83</v>
      </c>
      <c r="R54">
        <v>-0.7</v>
      </c>
      <c r="S54">
        <v>-2.44</v>
      </c>
      <c r="T54">
        <v>1.1499999999999999</v>
      </c>
      <c r="U54">
        <v>1.59</v>
      </c>
      <c r="V54">
        <v>1.01</v>
      </c>
      <c r="W54">
        <v>3.22</v>
      </c>
      <c r="X54">
        <v>0.82</v>
      </c>
      <c r="Y54">
        <v>0.84</v>
      </c>
      <c r="Z54">
        <v>0.76</v>
      </c>
      <c r="AA54">
        <v>1.81</v>
      </c>
      <c r="AB54">
        <v>0.95</v>
      </c>
      <c r="AC54">
        <v>0.26</v>
      </c>
      <c r="AD54">
        <v>0.85</v>
      </c>
      <c r="AE54">
        <v>2.9</v>
      </c>
      <c r="AF54">
        <v>1.2549999999999999</v>
      </c>
      <c r="AG54" t="str">
        <f>HYPERLINK("https://finance.naver.com/item/fchart.naver?code=025770", "한국정보통신 차트보기")</f>
        <v>한국정보통신 차트보기</v>
      </c>
    </row>
    <row r="55" spans="1:33" x14ac:dyDescent="0.3">
      <c r="A55" t="s">
        <v>247</v>
      </c>
      <c r="B55" t="s">
        <v>55</v>
      </c>
      <c r="C55" t="s">
        <v>248</v>
      </c>
      <c r="D55">
        <v>11291.19</v>
      </c>
      <c r="E55" t="s">
        <v>249</v>
      </c>
      <c r="F55">
        <v>5.88</v>
      </c>
      <c r="G55">
        <v>0.40999999642372131</v>
      </c>
      <c r="H55">
        <v>1900</v>
      </c>
      <c r="I55">
        <v>7.5999999046325684</v>
      </c>
      <c r="J55" t="s">
        <v>250</v>
      </c>
      <c r="K55">
        <v>11380</v>
      </c>
      <c r="L55">
        <v>11180</v>
      </c>
      <c r="M55">
        <v>-1.76</v>
      </c>
      <c r="N55">
        <v>-0.36</v>
      </c>
      <c r="O55">
        <v>0.36</v>
      </c>
      <c r="P55">
        <v>-0.35</v>
      </c>
      <c r="Q55">
        <v>-0.18</v>
      </c>
      <c r="R55">
        <v>-1.58</v>
      </c>
      <c r="S55">
        <v>-0.52</v>
      </c>
      <c r="T55">
        <v>0.24</v>
      </c>
      <c r="U55">
        <v>0.5</v>
      </c>
      <c r="V55">
        <v>0.36</v>
      </c>
      <c r="W55">
        <v>1.04</v>
      </c>
      <c r="X55">
        <v>0.5</v>
      </c>
      <c r="Y55">
        <v>0.51</v>
      </c>
      <c r="Z55">
        <v>1.5</v>
      </c>
      <c r="AA55">
        <v>0.72</v>
      </c>
      <c r="AB55">
        <v>0.97</v>
      </c>
      <c r="AC55">
        <v>0.17</v>
      </c>
      <c r="AD55">
        <v>3.16</v>
      </c>
      <c r="AE55">
        <v>1.02</v>
      </c>
      <c r="AF55">
        <v>1.256666666666667</v>
      </c>
      <c r="AG55" t="str">
        <f>HYPERLINK("https://finance.naver.com/item/fchart.naver?code=072870", "메가스터디 차트보기")</f>
        <v>메가스터디 차트보기</v>
      </c>
    </row>
    <row r="56" spans="1:33" x14ac:dyDescent="0.3">
      <c r="A56" t="s">
        <v>251</v>
      </c>
      <c r="B56" t="s">
        <v>55</v>
      </c>
      <c r="C56" t="s">
        <v>252</v>
      </c>
      <c r="D56">
        <v>265146.62</v>
      </c>
      <c r="E56" t="s">
        <v>253</v>
      </c>
      <c r="F56">
        <v>1650</v>
      </c>
      <c r="G56">
        <v>1.029999971389771</v>
      </c>
      <c r="H56">
        <v>14</v>
      </c>
      <c r="I56">
        <v>3.4600000381469731</v>
      </c>
      <c r="J56" t="s">
        <v>254</v>
      </c>
      <c r="K56">
        <v>22250</v>
      </c>
      <c r="L56">
        <v>23100</v>
      </c>
      <c r="M56">
        <v>3.82</v>
      </c>
      <c r="N56">
        <v>0.43</v>
      </c>
      <c r="O56">
        <v>-0.21</v>
      </c>
      <c r="P56">
        <v>-0.6</v>
      </c>
      <c r="Q56">
        <v>21.6</v>
      </c>
      <c r="R56">
        <v>2.13</v>
      </c>
      <c r="S56">
        <v>-5.88</v>
      </c>
      <c r="T56">
        <v>2.16</v>
      </c>
      <c r="U56">
        <v>1.77</v>
      </c>
      <c r="V56">
        <v>2.35</v>
      </c>
      <c r="W56">
        <v>9.09</v>
      </c>
      <c r="X56">
        <v>2.4300000000000002</v>
      </c>
      <c r="Y56">
        <v>1.58</v>
      </c>
      <c r="Z56">
        <v>0.2</v>
      </c>
      <c r="AA56">
        <v>0.12</v>
      </c>
      <c r="AB56">
        <v>0.26</v>
      </c>
      <c r="AC56">
        <v>2.38</v>
      </c>
      <c r="AD56">
        <v>0.88</v>
      </c>
      <c r="AE56">
        <v>3.72</v>
      </c>
      <c r="AF56">
        <v>1.26</v>
      </c>
      <c r="AG56" t="str">
        <f>HYPERLINK("https://finance.naver.com/item/fchart.naver?code=096530", "씨젠 차트보기")</f>
        <v>씨젠 차트보기</v>
      </c>
    </row>
    <row r="57" spans="1:33" x14ac:dyDescent="0.3">
      <c r="A57" t="s">
        <v>255</v>
      </c>
      <c r="B57" t="s">
        <v>55</v>
      </c>
      <c r="C57" t="s">
        <v>256</v>
      </c>
      <c r="D57">
        <v>124904.9</v>
      </c>
      <c r="E57" t="s">
        <v>257</v>
      </c>
      <c r="F57">
        <v>0</v>
      </c>
      <c r="G57">
        <v>6.619999885559082</v>
      </c>
      <c r="H57">
        <v>0</v>
      </c>
      <c r="I57">
        <v>0</v>
      </c>
      <c r="J57" t="s">
        <v>258</v>
      </c>
      <c r="K57">
        <v>31650</v>
      </c>
      <c r="L57">
        <v>28750</v>
      </c>
      <c r="M57">
        <v>-9.16</v>
      </c>
      <c r="N57">
        <v>-0.35</v>
      </c>
      <c r="O57">
        <v>2.59</v>
      </c>
      <c r="P57">
        <v>-4.8499999999999996</v>
      </c>
      <c r="Q57">
        <v>3.43</v>
      </c>
      <c r="R57">
        <v>1.66</v>
      </c>
      <c r="S57">
        <v>-6.5</v>
      </c>
      <c r="T57">
        <v>1.81</v>
      </c>
      <c r="U57">
        <v>2.02</v>
      </c>
      <c r="V57">
        <v>2.4500000000000002</v>
      </c>
      <c r="W57">
        <v>3.96</v>
      </c>
      <c r="X57">
        <v>2.62</v>
      </c>
      <c r="Y57">
        <v>2.48</v>
      </c>
      <c r="Z57">
        <v>0.19</v>
      </c>
      <c r="AA57">
        <v>1.28</v>
      </c>
      <c r="AB57">
        <v>1.98</v>
      </c>
      <c r="AC57">
        <v>0.87</v>
      </c>
      <c r="AD57">
        <v>0.63</v>
      </c>
      <c r="AE57">
        <v>2.62</v>
      </c>
      <c r="AF57">
        <v>1.2616666666666669</v>
      </c>
      <c r="AG57" t="str">
        <f>HYPERLINK("https://finance.naver.com/item/fchart.naver?code=372320", "큐로셀 차트보기")</f>
        <v>큐로셀 차트보기</v>
      </c>
    </row>
    <row r="58" spans="1:33" x14ac:dyDescent="0.3">
      <c r="A58" t="s">
        <v>259</v>
      </c>
      <c r="B58" t="s">
        <v>34</v>
      </c>
      <c r="C58" t="s">
        <v>260</v>
      </c>
      <c r="D58">
        <v>1542.33</v>
      </c>
      <c r="E58" t="s">
        <v>261</v>
      </c>
      <c r="F58">
        <v>6.01</v>
      </c>
      <c r="G58">
        <v>0.5</v>
      </c>
      <c r="H58">
        <v>4251</v>
      </c>
      <c r="I58">
        <v>4.8899998664855957</v>
      </c>
      <c r="J58" t="s">
        <v>262</v>
      </c>
      <c r="K58">
        <v>25750</v>
      </c>
      <c r="L58">
        <v>25550</v>
      </c>
      <c r="M58">
        <v>-0.78</v>
      </c>
      <c r="N58">
        <v>0.39</v>
      </c>
      <c r="O58">
        <v>-0.39</v>
      </c>
      <c r="P58">
        <v>0.39</v>
      </c>
      <c r="Q58">
        <v>-0.39</v>
      </c>
      <c r="R58">
        <v>0.2</v>
      </c>
      <c r="S58">
        <v>-2.84</v>
      </c>
      <c r="T58">
        <v>0.23</v>
      </c>
      <c r="U58">
        <v>0.25</v>
      </c>
      <c r="V58">
        <v>0.37</v>
      </c>
      <c r="W58">
        <v>0.73</v>
      </c>
      <c r="X58">
        <v>0.34</v>
      </c>
      <c r="Y58">
        <v>1.29</v>
      </c>
      <c r="Z58">
        <v>1.7</v>
      </c>
      <c r="AA58">
        <v>1.56</v>
      </c>
      <c r="AB58">
        <v>1.05</v>
      </c>
      <c r="AC58">
        <v>0.53</v>
      </c>
      <c r="AD58">
        <v>0.59</v>
      </c>
      <c r="AE58">
        <v>2.2000000000000002</v>
      </c>
      <c r="AF58">
        <v>1.2716666666666669</v>
      </c>
      <c r="AG58" t="str">
        <f>HYPERLINK("https://finance.naver.com/item/fchart.naver?code=034590", "인천도시가스 차트보기")</f>
        <v>인천도시가스 차트보기</v>
      </c>
    </row>
    <row r="59" spans="1:33" x14ac:dyDescent="0.3">
      <c r="A59" t="s">
        <v>263</v>
      </c>
      <c r="B59" t="s">
        <v>55</v>
      </c>
      <c r="C59" t="s">
        <v>264</v>
      </c>
      <c r="D59">
        <v>3709.05</v>
      </c>
      <c r="E59" t="s">
        <v>265</v>
      </c>
      <c r="F59">
        <v>0</v>
      </c>
      <c r="G59">
        <v>0</v>
      </c>
      <c r="H59">
        <v>0</v>
      </c>
      <c r="I59">
        <v>0</v>
      </c>
      <c r="J59" t="s">
        <v>266</v>
      </c>
      <c r="K59">
        <v>2210</v>
      </c>
      <c r="L59">
        <v>2175</v>
      </c>
      <c r="M59">
        <v>-1.58</v>
      </c>
      <c r="N59">
        <v>-0.23</v>
      </c>
      <c r="O59">
        <v>0.92</v>
      </c>
      <c r="P59">
        <v>0</v>
      </c>
      <c r="Q59">
        <v>-2.2599999999999998</v>
      </c>
      <c r="R59">
        <v>0.23</v>
      </c>
      <c r="S59">
        <v>0</v>
      </c>
      <c r="T59">
        <v>0.11</v>
      </c>
      <c r="U59">
        <v>0.52</v>
      </c>
      <c r="V59">
        <v>0.45</v>
      </c>
      <c r="W59">
        <v>0.75</v>
      </c>
      <c r="X59">
        <v>0.28999999999999998</v>
      </c>
      <c r="Y59">
        <v>0.38</v>
      </c>
      <c r="Z59">
        <v>2.09</v>
      </c>
      <c r="AA59">
        <v>1.77</v>
      </c>
      <c r="AB59">
        <v>0</v>
      </c>
      <c r="AC59">
        <v>3.01</v>
      </c>
      <c r="AD59">
        <v>0.79</v>
      </c>
      <c r="AE59">
        <v>0</v>
      </c>
      <c r="AF59">
        <v>1.2766666666666671</v>
      </c>
      <c r="AG59" t="str">
        <f>HYPERLINK("https://finance.naver.com/item/fchart.naver?code=475240", "하나32호스팩 차트보기")</f>
        <v>하나32호스팩 차트보기</v>
      </c>
    </row>
    <row r="60" spans="1:33" x14ac:dyDescent="0.3">
      <c r="A60" t="s">
        <v>267</v>
      </c>
      <c r="B60" t="s">
        <v>34</v>
      </c>
      <c r="C60" t="s">
        <v>268</v>
      </c>
      <c r="D60">
        <v>7958</v>
      </c>
      <c r="E60" t="s">
        <v>269</v>
      </c>
      <c r="F60">
        <v>5.87</v>
      </c>
      <c r="G60">
        <v>0.64999997615814209</v>
      </c>
      <c r="H60">
        <v>1536</v>
      </c>
      <c r="I60">
        <v>3.3299999237060551</v>
      </c>
      <c r="J60" t="s">
        <v>270</v>
      </c>
      <c r="K60">
        <v>8390</v>
      </c>
      <c r="L60">
        <v>9020</v>
      </c>
      <c r="M60">
        <v>7.51</v>
      </c>
      <c r="N60">
        <v>4.76</v>
      </c>
      <c r="O60">
        <v>2.74</v>
      </c>
      <c r="P60">
        <v>0.24</v>
      </c>
      <c r="Q60">
        <v>-0.24</v>
      </c>
      <c r="R60">
        <v>-1.65</v>
      </c>
      <c r="S60">
        <v>2.25</v>
      </c>
      <c r="T60">
        <v>1.66</v>
      </c>
      <c r="U60">
        <v>1.74</v>
      </c>
      <c r="V60">
        <v>1.08</v>
      </c>
      <c r="W60">
        <v>1.66</v>
      </c>
      <c r="X60">
        <v>0.91</v>
      </c>
      <c r="Y60">
        <v>2.14</v>
      </c>
      <c r="Z60">
        <v>2.87</v>
      </c>
      <c r="AA60">
        <v>1.57</v>
      </c>
      <c r="AB60">
        <v>0.22</v>
      </c>
      <c r="AC60">
        <v>0.14000000000000001</v>
      </c>
      <c r="AD60">
        <v>1.81</v>
      </c>
      <c r="AE60">
        <v>1.05</v>
      </c>
      <c r="AF60">
        <v>1.2766666666666671</v>
      </c>
      <c r="AG60" t="str">
        <f>HYPERLINK("https://finance.naver.com/item/fchart.naver?code=001560", "제일연마 차트보기")</f>
        <v>제일연마 차트보기</v>
      </c>
    </row>
    <row r="61" spans="1:33" x14ac:dyDescent="0.3">
      <c r="A61" t="s">
        <v>271</v>
      </c>
      <c r="B61" t="s">
        <v>55</v>
      </c>
      <c r="C61" t="s">
        <v>272</v>
      </c>
      <c r="D61">
        <v>8086.24</v>
      </c>
      <c r="E61" t="s">
        <v>273</v>
      </c>
      <c r="F61">
        <v>0</v>
      </c>
      <c r="G61">
        <v>0</v>
      </c>
      <c r="H61">
        <v>0</v>
      </c>
      <c r="I61">
        <v>0</v>
      </c>
      <c r="J61" t="s">
        <v>274</v>
      </c>
      <c r="K61">
        <v>2255</v>
      </c>
      <c r="L61">
        <v>2185</v>
      </c>
      <c r="M61">
        <v>-3.1</v>
      </c>
      <c r="N61">
        <v>-1.8</v>
      </c>
      <c r="O61">
        <v>-1.32</v>
      </c>
      <c r="P61">
        <v>-0.88</v>
      </c>
      <c r="Q61">
        <v>-1.93</v>
      </c>
      <c r="R61">
        <v>-1.68</v>
      </c>
      <c r="S61">
        <v>2.42</v>
      </c>
      <c r="T61">
        <v>0.97</v>
      </c>
      <c r="U61">
        <v>1.62</v>
      </c>
      <c r="V61">
        <v>1.42</v>
      </c>
      <c r="W61">
        <v>1.49</v>
      </c>
      <c r="X61">
        <v>1.41</v>
      </c>
      <c r="Y61">
        <v>1.29</v>
      </c>
      <c r="Z61">
        <v>1.86</v>
      </c>
      <c r="AA61">
        <v>0.81</v>
      </c>
      <c r="AB61">
        <v>0.62</v>
      </c>
      <c r="AC61">
        <v>1.3</v>
      </c>
      <c r="AD61">
        <v>1.19</v>
      </c>
      <c r="AE61">
        <v>1.88</v>
      </c>
      <c r="AF61">
        <v>1.2766666666666671</v>
      </c>
      <c r="AG61" t="str">
        <f>HYPERLINK("https://finance.naver.com/item/fchart.naver?code=442310", "대신밸런스제14호스팩 차트보기")</f>
        <v>대신밸런스제14호스팩 차트보기</v>
      </c>
    </row>
    <row r="62" spans="1:33" x14ac:dyDescent="0.3">
      <c r="A62" t="s">
        <v>275</v>
      </c>
      <c r="B62" t="s">
        <v>34</v>
      </c>
      <c r="C62" t="s">
        <v>276</v>
      </c>
      <c r="D62">
        <v>6645.81</v>
      </c>
      <c r="E62" t="s">
        <v>277</v>
      </c>
      <c r="F62">
        <v>0</v>
      </c>
      <c r="G62">
        <v>0</v>
      </c>
      <c r="H62">
        <v>0</v>
      </c>
      <c r="I62">
        <v>4.9200000762939453</v>
      </c>
      <c r="J62" t="s">
        <v>278</v>
      </c>
      <c r="K62">
        <v>18700</v>
      </c>
      <c r="L62">
        <v>16450</v>
      </c>
      <c r="M62">
        <v>-12.03</v>
      </c>
      <c r="N62">
        <v>-2.2599999999999998</v>
      </c>
      <c r="O62">
        <v>1.63</v>
      </c>
      <c r="P62">
        <v>-0.94</v>
      </c>
      <c r="Q62">
        <v>-2.06</v>
      </c>
      <c r="R62">
        <v>-6.94</v>
      </c>
      <c r="S62">
        <v>2.75</v>
      </c>
      <c r="T62">
        <v>1.6</v>
      </c>
      <c r="U62">
        <v>0.98</v>
      </c>
      <c r="V62">
        <v>1.4</v>
      </c>
      <c r="W62">
        <v>3</v>
      </c>
      <c r="X62">
        <v>2.56</v>
      </c>
      <c r="Y62">
        <v>4.91</v>
      </c>
      <c r="Z62">
        <v>1.41</v>
      </c>
      <c r="AA62">
        <v>1.66</v>
      </c>
      <c r="AB62">
        <v>0.67</v>
      </c>
      <c r="AC62">
        <v>0.69</v>
      </c>
      <c r="AD62">
        <v>2.71</v>
      </c>
      <c r="AE62">
        <v>0.56000000000000005</v>
      </c>
      <c r="AF62">
        <v>1.283333333333333</v>
      </c>
      <c r="AG62" t="str">
        <f>HYPERLINK("https://finance.naver.com/item/fchart.naver?code=001685", "대상우 차트보기")</f>
        <v>대상우 차트보기</v>
      </c>
    </row>
    <row r="63" spans="1:33" x14ac:dyDescent="0.3">
      <c r="A63" t="s">
        <v>279</v>
      </c>
      <c r="B63" t="s">
        <v>34</v>
      </c>
      <c r="C63" t="s">
        <v>280</v>
      </c>
      <c r="D63">
        <v>1744</v>
      </c>
      <c r="E63" t="s">
        <v>281</v>
      </c>
      <c r="F63">
        <v>2.6</v>
      </c>
      <c r="G63">
        <v>0.23000000417232511</v>
      </c>
      <c r="H63">
        <v>21366</v>
      </c>
      <c r="I63">
        <v>6.2899999618530273</v>
      </c>
      <c r="J63" t="s">
        <v>282</v>
      </c>
      <c r="K63">
        <v>59400</v>
      </c>
      <c r="L63">
        <v>55600</v>
      </c>
      <c r="M63">
        <v>-6.4</v>
      </c>
      <c r="N63">
        <v>-0.54</v>
      </c>
      <c r="O63">
        <v>-2.44</v>
      </c>
      <c r="P63">
        <v>-0.52</v>
      </c>
      <c r="Q63">
        <v>0.35</v>
      </c>
      <c r="R63">
        <v>-0.17</v>
      </c>
      <c r="S63">
        <v>-1.36</v>
      </c>
      <c r="T63">
        <v>0.4</v>
      </c>
      <c r="U63">
        <v>0.76</v>
      </c>
      <c r="V63">
        <v>0.82</v>
      </c>
      <c r="W63">
        <v>1.5</v>
      </c>
      <c r="X63">
        <v>0.72</v>
      </c>
      <c r="Y63">
        <v>0.66</v>
      </c>
      <c r="Z63">
        <v>1.35</v>
      </c>
      <c r="AA63">
        <v>3.21</v>
      </c>
      <c r="AB63">
        <v>0.63</v>
      </c>
      <c r="AC63">
        <v>0.23</v>
      </c>
      <c r="AD63">
        <v>0.24</v>
      </c>
      <c r="AE63">
        <v>2.06</v>
      </c>
      <c r="AF63">
        <v>1.2866666666666671</v>
      </c>
      <c r="AG63" t="str">
        <f>HYPERLINK("https://finance.naver.com/item/fchart.naver?code=092230", "KPX홀딩스 차트보기")</f>
        <v>KPX홀딩스 차트보기</v>
      </c>
    </row>
    <row r="64" spans="1:33" x14ac:dyDescent="0.3">
      <c r="A64" t="s">
        <v>283</v>
      </c>
      <c r="B64" t="s">
        <v>34</v>
      </c>
      <c r="C64" t="s">
        <v>284</v>
      </c>
      <c r="D64">
        <v>23082.19</v>
      </c>
      <c r="E64" t="s">
        <v>285</v>
      </c>
      <c r="F64">
        <v>5.48</v>
      </c>
      <c r="G64">
        <v>0.27000001072883612</v>
      </c>
      <c r="H64">
        <v>1595</v>
      </c>
      <c r="I64">
        <v>4.5799999237060547</v>
      </c>
      <c r="J64" t="s">
        <v>286</v>
      </c>
      <c r="K64">
        <v>9060</v>
      </c>
      <c r="L64">
        <v>8740</v>
      </c>
      <c r="M64">
        <v>-3.53</v>
      </c>
      <c r="N64">
        <v>-0.91</v>
      </c>
      <c r="O64">
        <v>-0.68</v>
      </c>
      <c r="P64">
        <v>0.8</v>
      </c>
      <c r="Q64">
        <v>-2.56</v>
      </c>
      <c r="R64">
        <v>2.76</v>
      </c>
      <c r="S64">
        <v>0</v>
      </c>
      <c r="T64">
        <v>0.52</v>
      </c>
      <c r="U64">
        <v>0.52</v>
      </c>
      <c r="V64">
        <v>1.84</v>
      </c>
      <c r="W64">
        <v>1.92</v>
      </c>
      <c r="X64">
        <v>0.93</v>
      </c>
      <c r="Y64">
        <v>1.0900000000000001</v>
      </c>
      <c r="Z64">
        <v>1.75</v>
      </c>
      <c r="AA64">
        <v>1.31</v>
      </c>
      <c r="AB64">
        <v>0.43</v>
      </c>
      <c r="AC64">
        <v>1.33</v>
      </c>
      <c r="AD64">
        <v>2.97</v>
      </c>
      <c r="AE64">
        <v>0</v>
      </c>
      <c r="AF64">
        <v>1.298333333333334</v>
      </c>
      <c r="AG64" t="str">
        <f>HYPERLINK("https://finance.naver.com/item/fchart.naver?code=001500", "현대차증권 차트보기")</f>
        <v>현대차증권 차트보기</v>
      </c>
    </row>
    <row r="65" spans="1:33" x14ac:dyDescent="0.3">
      <c r="A65" t="s">
        <v>287</v>
      </c>
      <c r="B65" t="s">
        <v>55</v>
      </c>
      <c r="C65" t="s">
        <v>288</v>
      </c>
      <c r="D65">
        <v>127371.52</v>
      </c>
      <c r="E65" t="s">
        <v>289</v>
      </c>
      <c r="F65">
        <v>0</v>
      </c>
      <c r="G65">
        <v>0.63999998569488525</v>
      </c>
      <c r="H65">
        <v>0</v>
      </c>
      <c r="I65">
        <v>0</v>
      </c>
      <c r="J65" t="s">
        <v>290</v>
      </c>
      <c r="K65">
        <v>4145</v>
      </c>
      <c r="L65">
        <v>3260</v>
      </c>
      <c r="M65">
        <v>-21.35</v>
      </c>
      <c r="N65">
        <v>-6.05</v>
      </c>
      <c r="O65">
        <v>-2.77</v>
      </c>
      <c r="P65">
        <v>1.0900000000000001</v>
      </c>
      <c r="Q65">
        <v>-7.53</v>
      </c>
      <c r="R65">
        <v>0</v>
      </c>
      <c r="S65">
        <v>2.89</v>
      </c>
      <c r="T65">
        <v>1.7</v>
      </c>
      <c r="U65">
        <v>2.4700000000000002</v>
      </c>
      <c r="V65">
        <v>1.99</v>
      </c>
      <c r="W65">
        <v>4.2699999999999996</v>
      </c>
      <c r="X65">
        <v>3.16</v>
      </c>
      <c r="Y65">
        <v>3.56</v>
      </c>
      <c r="Z65">
        <v>3.56</v>
      </c>
      <c r="AA65">
        <v>1.1200000000000001</v>
      </c>
      <c r="AB65">
        <v>0.55000000000000004</v>
      </c>
      <c r="AC65">
        <v>1.76</v>
      </c>
      <c r="AD65">
        <v>0</v>
      </c>
      <c r="AE65">
        <v>0.81</v>
      </c>
      <c r="AF65">
        <v>1.3</v>
      </c>
      <c r="AG65" t="str">
        <f>HYPERLINK("https://finance.naver.com/item/fchart.naver?code=104200", "NHN벅스 차트보기")</f>
        <v>NHN벅스 차트보기</v>
      </c>
    </row>
    <row r="66" spans="1:33" x14ac:dyDescent="0.3">
      <c r="A66" t="s">
        <v>291</v>
      </c>
      <c r="B66" t="s">
        <v>55</v>
      </c>
      <c r="C66" t="s">
        <v>292</v>
      </c>
      <c r="D66">
        <v>43946.76</v>
      </c>
      <c r="E66" t="s">
        <v>293</v>
      </c>
      <c r="F66">
        <v>11.29</v>
      </c>
      <c r="G66">
        <v>1.799999952316284</v>
      </c>
      <c r="H66">
        <v>1667</v>
      </c>
      <c r="I66">
        <v>1.330000042915344</v>
      </c>
      <c r="J66" t="s">
        <v>294</v>
      </c>
      <c r="K66">
        <v>18720</v>
      </c>
      <c r="L66">
        <v>18820</v>
      </c>
      <c r="M66">
        <v>0.53</v>
      </c>
      <c r="N66">
        <v>-1.26</v>
      </c>
      <c r="O66">
        <v>1.02</v>
      </c>
      <c r="P66">
        <v>-4.8099999999999996</v>
      </c>
      <c r="Q66">
        <v>-0.4</v>
      </c>
      <c r="R66">
        <v>-6.09</v>
      </c>
      <c r="S66">
        <v>1.9</v>
      </c>
      <c r="T66">
        <v>1.78</v>
      </c>
      <c r="U66">
        <v>1.92</v>
      </c>
      <c r="V66">
        <v>1.92</v>
      </c>
      <c r="W66">
        <v>3.73</v>
      </c>
      <c r="X66">
        <v>1.85</v>
      </c>
      <c r="Y66">
        <v>2.75</v>
      </c>
      <c r="Z66">
        <v>0.71</v>
      </c>
      <c r="AA66">
        <v>0.53</v>
      </c>
      <c r="AB66">
        <v>2.5099999999999998</v>
      </c>
      <c r="AC66">
        <v>0.11</v>
      </c>
      <c r="AD66">
        <v>3.29</v>
      </c>
      <c r="AE66">
        <v>0.69</v>
      </c>
      <c r="AF66">
        <v>1.3066666666666671</v>
      </c>
      <c r="AG66" t="str">
        <f>HYPERLINK("https://finance.naver.com/item/fchart.naver?code=082920", "비츠로셀 차트보기")</f>
        <v>비츠로셀 차트보기</v>
      </c>
    </row>
    <row r="67" spans="1:33" x14ac:dyDescent="0.3">
      <c r="A67" t="s">
        <v>295</v>
      </c>
      <c r="B67" t="s">
        <v>55</v>
      </c>
      <c r="C67" t="s">
        <v>296</v>
      </c>
      <c r="D67">
        <v>530198.56999999995</v>
      </c>
      <c r="E67" t="s">
        <v>297</v>
      </c>
      <c r="F67">
        <v>0</v>
      </c>
      <c r="G67">
        <v>2.220000028610229</v>
      </c>
      <c r="H67">
        <v>0</v>
      </c>
      <c r="I67">
        <v>0</v>
      </c>
      <c r="J67" t="s">
        <v>298</v>
      </c>
      <c r="K67">
        <v>25500</v>
      </c>
      <c r="L67">
        <v>29800</v>
      </c>
      <c r="M67">
        <v>16.86</v>
      </c>
      <c r="N67">
        <v>3.83</v>
      </c>
      <c r="O67">
        <v>-0.17</v>
      </c>
      <c r="P67">
        <v>8.7200000000000006</v>
      </c>
      <c r="Q67">
        <v>-8.82</v>
      </c>
      <c r="R67">
        <v>-6.23</v>
      </c>
      <c r="S67">
        <v>-2.0699999999999998</v>
      </c>
      <c r="T67">
        <v>3.76</v>
      </c>
      <c r="U67">
        <v>3.21</v>
      </c>
      <c r="V67">
        <v>3.06</v>
      </c>
      <c r="W67">
        <v>4.0599999999999996</v>
      </c>
      <c r="X67">
        <v>5.48</v>
      </c>
      <c r="Y67">
        <v>3.26</v>
      </c>
      <c r="Z67">
        <v>1.02</v>
      </c>
      <c r="AA67">
        <v>0.05</v>
      </c>
      <c r="AB67">
        <v>2.85</v>
      </c>
      <c r="AC67">
        <v>2.17</v>
      </c>
      <c r="AD67">
        <v>1.1399999999999999</v>
      </c>
      <c r="AE67">
        <v>0.63</v>
      </c>
      <c r="AF67">
        <v>1.31</v>
      </c>
      <c r="AG67" t="str">
        <f>HYPERLINK("https://finance.naver.com/item/fchart.naver?code=178320", "서진시스템 차트보기")</f>
        <v>서진시스템 차트보기</v>
      </c>
    </row>
    <row r="68" spans="1:33" x14ac:dyDescent="0.3">
      <c r="A68" t="s">
        <v>299</v>
      </c>
      <c r="B68" t="s">
        <v>34</v>
      </c>
      <c r="C68" t="s">
        <v>300</v>
      </c>
      <c r="D68">
        <v>2756592.33</v>
      </c>
      <c r="E68" t="s">
        <v>301</v>
      </c>
      <c r="F68">
        <v>0</v>
      </c>
      <c r="G68">
        <v>0.40999999642372131</v>
      </c>
      <c r="H68">
        <v>0</v>
      </c>
      <c r="I68">
        <v>0</v>
      </c>
      <c r="J68" t="s">
        <v>302</v>
      </c>
      <c r="K68">
        <v>1116</v>
      </c>
      <c r="L68">
        <v>934</v>
      </c>
      <c r="M68">
        <v>-16.309999999999999</v>
      </c>
      <c r="N68">
        <v>-1.1599999999999999</v>
      </c>
      <c r="O68">
        <v>-8.25</v>
      </c>
      <c r="P68">
        <v>-1.4</v>
      </c>
      <c r="Q68">
        <v>-4.1100000000000003</v>
      </c>
      <c r="R68">
        <v>-0.53</v>
      </c>
      <c r="S68">
        <v>3.86</v>
      </c>
      <c r="T68">
        <v>1.26</v>
      </c>
      <c r="U68">
        <v>7.88</v>
      </c>
      <c r="V68">
        <v>0.99</v>
      </c>
      <c r="W68">
        <v>1.9</v>
      </c>
      <c r="X68">
        <v>0.93</v>
      </c>
      <c r="Y68">
        <v>2.2000000000000002</v>
      </c>
      <c r="Z68">
        <v>0.92</v>
      </c>
      <c r="AA68">
        <v>1.05</v>
      </c>
      <c r="AB68">
        <v>1.41</v>
      </c>
      <c r="AC68">
        <v>2.16</v>
      </c>
      <c r="AD68">
        <v>0.56999999999999995</v>
      </c>
      <c r="AE68">
        <v>1.75</v>
      </c>
      <c r="AF68">
        <v>1.31</v>
      </c>
      <c r="AG68" t="str">
        <f>HYPERLINK("https://finance.naver.com/item/fchart.naver?code=027970", "한국제지 차트보기")</f>
        <v>한국제지 차트보기</v>
      </c>
    </row>
    <row r="69" spans="1:33" x14ac:dyDescent="0.3">
      <c r="A69" t="s">
        <v>303</v>
      </c>
      <c r="B69" t="s">
        <v>55</v>
      </c>
      <c r="C69" t="s">
        <v>304</v>
      </c>
      <c r="D69">
        <v>4569.8100000000004</v>
      </c>
      <c r="E69" t="s">
        <v>305</v>
      </c>
      <c r="F69">
        <v>84.05</v>
      </c>
      <c r="G69">
        <v>1.419999957084656</v>
      </c>
      <c r="H69">
        <v>74</v>
      </c>
      <c r="I69">
        <v>0</v>
      </c>
      <c r="J69" t="s">
        <v>306</v>
      </c>
      <c r="K69">
        <v>7390</v>
      </c>
      <c r="L69">
        <v>6220</v>
      </c>
      <c r="M69">
        <v>-15.83</v>
      </c>
      <c r="N69">
        <v>-2.35</v>
      </c>
      <c r="O69">
        <v>0.32</v>
      </c>
      <c r="P69">
        <v>-1.42</v>
      </c>
      <c r="Q69">
        <v>-7.73</v>
      </c>
      <c r="R69">
        <v>-5.15</v>
      </c>
      <c r="S69">
        <v>2.06</v>
      </c>
      <c r="T69">
        <v>1.61</v>
      </c>
      <c r="U69">
        <v>0.83</v>
      </c>
      <c r="V69">
        <v>1.58</v>
      </c>
      <c r="W69">
        <v>3.23</v>
      </c>
      <c r="X69">
        <v>2.71</v>
      </c>
      <c r="Y69">
        <v>2.4500000000000002</v>
      </c>
      <c r="Z69">
        <v>1.46</v>
      </c>
      <c r="AA69">
        <v>0.39</v>
      </c>
      <c r="AB69">
        <v>0.9</v>
      </c>
      <c r="AC69">
        <v>2.39</v>
      </c>
      <c r="AD69">
        <v>1.9</v>
      </c>
      <c r="AE69">
        <v>0.84</v>
      </c>
      <c r="AF69">
        <v>1.313333333333333</v>
      </c>
      <c r="AG69" t="str">
        <f>HYPERLINK("https://finance.naver.com/item/fchart.naver?code=025870", "신라에스지 차트보기")</f>
        <v>신라에스지 차트보기</v>
      </c>
    </row>
    <row r="70" spans="1:33" x14ac:dyDescent="0.3">
      <c r="A70" t="s">
        <v>307</v>
      </c>
      <c r="B70" t="s">
        <v>34</v>
      </c>
      <c r="C70" t="s">
        <v>308</v>
      </c>
      <c r="D70">
        <v>5938.05</v>
      </c>
      <c r="E70" t="s">
        <v>309</v>
      </c>
      <c r="F70">
        <v>0</v>
      </c>
      <c r="G70">
        <v>0.34999999403953552</v>
      </c>
      <c r="H70">
        <v>0</v>
      </c>
      <c r="I70">
        <v>7.2600002288818359</v>
      </c>
      <c r="J70" t="s">
        <v>310</v>
      </c>
      <c r="K70">
        <v>13890</v>
      </c>
      <c r="L70">
        <v>13780</v>
      </c>
      <c r="M70">
        <v>-0.79</v>
      </c>
      <c r="N70">
        <v>0.8</v>
      </c>
      <c r="O70">
        <v>-7.0000000000000007E-2</v>
      </c>
      <c r="P70">
        <v>0.59</v>
      </c>
      <c r="Q70">
        <v>-2.14</v>
      </c>
      <c r="R70">
        <v>0.43</v>
      </c>
      <c r="S70">
        <v>-0.36</v>
      </c>
      <c r="T70">
        <v>0.35</v>
      </c>
      <c r="U70">
        <v>0.44</v>
      </c>
      <c r="V70">
        <v>0.4</v>
      </c>
      <c r="W70">
        <v>1.21</v>
      </c>
      <c r="X70">
        <v>0.35</v>
      </c>
      <c r="Y70">
        <v>0.37</v>
      </c>
      <c r="Z70">
        <v>2.29</v>
      </c>
      <c r="AA70">
        <v>0.16</v>
      </c>
      <c r="AB70">
        <v>1.47</v>
      </c>
      <c r="AC70">
        <v>1.77</v>
      </c>
      <c r="AD70">
        <v>1.23</v>
      </c>
      <c r="AE70">
        <v>0.97</v>
      </c>
      <c r="AF70">
        <v>1.3149999999999999</v>
      </c>
      <c r="AG70" t="str">
        <f>HYPERLINK("https://finance.naver.com/item/fchart.naver?code=019440", "세아특수강 차트보기")</f>
        <v>세아특수강 차트보기</v>
      </c>
    </row>
    <row r="71" spans="1:33" x14ac:dyDescent="0.3">
      <c r="A71" t="s">
        <v>311</v>
      </c>
      <c r="B71" t="s">
        <v>34</v>
      </c>
      <c r="C71" t="s">
        <v>312</v>
      </c>
      <c r="D71">
        <v>13409.43</v>
      </c>
      <c r="E71" t="s">
        <v>313</v>
      </c>
      <c r="F71">
        <v>11.11</v>
      </c>
      <c r="G71">
        <v>0.40000000596046448</v>
      </c>
      <c r="H71">
        <v>306</v>
      </c>
      <c r="I71">
        <v>1.470000028610229</v>
      </c>
      <c r="J71" t="s">
        <v>314</v>
      </c>
      <c r="K71">
        <v>3695</v>
      </c>
      <c r="L71">
        <v>3400</v>
      </c>
      <c r="M71">
        <v>-7.98</v>
      </c>
      <c r="N71">
        <v>0</v>
      </c>
      <c r="O71">
        <v>-0.59</v>
      </c>
      <c r="P71">
        <v>1.03</v>
      </c>
      <c r="Q71">
        <v>-3.24</v>
      </c>
      <c r="R71">
        <v>-1.81</v>
      </c>
      <c r="S71">
        <v>-2.0499999999999998</v>
      </c>
      <c r="T71">
        <v>0.75</v>
      </c>
      <c r="U71">
        <v>0.65</v>
      </c>
      <c r="V71">
        <v>0.91</v>
      </c>
      <c r="W71">
        <v>1.49</v>
      </c>
      <c r="X71">
        <v>0.98</v>
      </c>
      <c r="Y71">
        <v>1.07</v>
      </c>
      <c r="Z71">
        <v>0</v>
      </c>
      <c r="AA71">
        <v>0.91</v>
      </c>
      <c r="AB71">
        <v>1.1299999999999999</v>
      </c>
      <c r="AC71">
        <v>2.17</v>
      </c>
      <c r="AD71">
        <v>1.85</v>
      </c>
      <c r="AE71">
        <v>1.92</v>
      </c>
      <c r="AF71">
        <v>1.33</v>
      </c>
      <c r="AG71" t="str">
        <f>HYPERLINK("https://finance.naver.com/item/fchart.naver?code=014440", "영보화학 차트보기")</f>
        <v>영보화학 차트보기</v>
      </c>
    </row>
    <row r="72" spans="1:33" x14ac:dyDescent="0.3">
      <c r="A72" t="s">
        <v>315</v>
      </c>
      <c r="B72" t="s">
        <v>55</v>
      </c>
      <c r="C72" t="s">
        <v>316</v>
      </c>
      <c r="D72">
        <v>14931.9</v>
      </c>
      <c r="E72" t="s">
        <v>317</v>
      </c>
      <c r="F72">
        <v>15.13</v>
      </c>
      <c r="G72">
        <v>1.3500000238418579</v>
      </c>
      <c r="H72">
        <v>120</v>
      </c>
      <c r="I72">
        <v>1.6499999761581421</v>
      </c>
      <c r="J72" t="s">
        <v>318</v>
      </c>
      <c r="K72">
        <v>2290</v>
      </c>
      <c r="L72">
        <v>1815</v>
      </c>
      <c r="M72">
        <v>-20.74</v>
      </c>
      <c r="N72">
        <v>-0.55000000000000004</v>
      </c>
      <c r="O72">
        <v>-3.71</v>
      </c>
      <c r="P72">
        <v>-2.94</v>
      </c>
      <c r="Q72">
        <v>-6.63</v>
      </c>
      <c r="R72">
        <v>-2.12</v>
      </c>
      <c r="S72">
        <v>0.24</v>
      </c>
      <c r="T72">
        <v>1.64</v>
      </c>
      <c r="U72">
        <v>1.0900000000000001</v>
      </c>
      <c r="V72">
        <v>1.73</v>
      </c>
      <c r="W72">
        <v>3.23</v>
      </c>
      <c r="X72">
        <v>5.45</v>
      </c>
      <c r="Y72">
        <v>1.69</v>
      </c>
      <c r="Z72">
        <v>0.34</v>
      </c>
      <c r="AA72">
        <v>3.4</v>
      </c>
      <c r="AB72">
        <v>1.7</v>
      </c>
      <c r="AC72">
        <v>2.0499999999999998</v>
      </c>
      <c r="AD72">
        <v>0.39</v>
      </c>
      <c r="AE72">
        <v>0.14000000000000001</v>
      </c>
      <c r="AF72">
        <v>1.3366666666666669</v>
      </c>
      <c r="AG72" t="str">
        <f>HYPERLINK("https://finance.naver.com/item/fchart.naver?code=344860", "이노진 차트보기")</f>
        <v>이노진 차트보기</v>
      </c>
    </row>
    <row r="73" spans="1:33" x14ac:dyDescent="0.3">
      <c r="A73" t="s">
        <v>319</v>
      </c>
      <c r="B73" t="s">
        <v>55</v>
      </c>
      <c r="C73" t="s">
        <v>320</v>
      </c>
      <c r="D73">
        <v>5329.95</v>
      </c>
      <c r="E73" t="s">
        <v>321</v>
      </c>
      <c r="F73">
        <v>0</v>
      </c>
      <c r="G73">
        <v>0</v>
      </c>
      <c r="H73">
        <v>0</v>
      </c>
      <c r="I73">
        <v>0</v>
      </c>
      <c r="J73" t="s">
        <v>322</v>
      </c>
      <c r="K73">
        <v>2275</v>
      </c>
      <c r="L73">
        <v>2155</v>
      </c>
      <c r="M73">
        <v>-5.27</v>
      </c>
      <c r="N73">
        <v>-0.23</v>
      </c>
      <c r="O73">
        <v>-0.23</v>
      </c>
      <c r="P73">
        <v>-0.46</v>
      </c>
      <c r="Q73">
        <v>-1.1299999999999999</v>
      </c>
      <c r="R73">
        <v>-3.48</v>
      </c>
      <c r="S73">
        <v>0.22</v>
      </c>
      <c r="T73">
        <v>0.53</v>
      </c>
      <c r="U73">
        <v>0.7</v>
      </c>
      <c r="V73">
        <v>0.83</v>
      </c>
      <c r="W73">
        <v>1.03</v>
      </c>
      <c r="X73">
        <v>0.65</v>
      </c>
      <c r="Y73">
        <v>0.85</v>
      </c>
      <c r="Z73">
        <v>0.43</v>
      </c>
      <c r="AA73">
        <v>0.33</v>
      </c>
      <c r="AB73">
        <v>0.55000000000000004</v>
      </c>
      <c r="AC73">
        <v>1.1000000000000001</v>
      </c>
      <c r="AD73">
        <v>5.35</v>
      </c>
      <c r="AE73">
        <v>0.26</v>
      </c>
      <c r="AF73">
        <v>1.3366666666666669</v>
      </c>
      <c r="AG73" t="str">
        <f>HYPERLINK("https://finance.naver.com/item/fchart.naver?code=456490", "교보14호스팩 차트보기")</f>
        <v>교보14호스팩 차트보기</v>
      </c>
    </row>
    <row r="74" spans="1:33" x14ac:dyDescent="0.3">
      <c r="A74" t="s">
        <v>323</v>
      </c>
      <c r="B74" t="s">
        <v>34</v>
      </c>
      <c r="C74" t="s">
        <v>324</v>
      </c>
      <c r="D74">
        <v>2160.86</v>
      </c>
      <c r="E74" t="s">
        <v>325</v>
      </c>
      <c r="F74">
        <v>0</v>
      </c>
      <c r="G74">
        <v>0</v>
      </c>
      <c r="H74">
        <v>0</v>
      </c>
      <c r="I74">
        <v>0</v>
      </c>
      <c r="J74" t="s">
        <v>326</v>
      </c>
      <c r="K74">
        <v>24750</v>
      </c>
      <c r="L74">
        <v>18890</v>
      </c>
      <c r="M74">
        <v>-23.68</v>
      </c>
      <c r="N74">
        <v>-0.89</v>
      </c>
      <c r="O74">
        <v>-0.26</v>
      </c>
      <c r="P74">
        <v>-2.46</v>
      </c>
      <c r="Q74">
        <v>6.37</v>
      </c>
      <c r="R74">
        <v>-1.3</v>
      </c>
      <c r="S74">
        <v>-6.85</v>
      </c>
      <c r="T74">
        <v>1.38</v>
      </c>
      <c r="U74">
        <v>1.06</v>
      </c>
      <c r="V74">
        <v>1.7</v>
      </c>
      <c r="W74">
        <v>9.82</v>
      </c>
      <c r="X74">
        <v>1.1599999999999999</v>
      </c>
      <c r="Y74">
        <v>1.75</v>
      </c>
      <c r="Z74">
        <v>0.64</v>
      </c>
      <c r="AA74">
        <v>0.25</v>
      </c>
      <c r="AB74">
        <v>1.45</v>
      </c>
      <c r="AC74">
        <v>0.65</v>
      </c>
      <c r="AD74">
        <v>1.1200000000000001</v>
      </c>
      <c r="AE74">
        <v>3.91</v>
      </c>
      <c r="AF74">
        <v>1.3366666666666669</v>
      </c>
      <c r="AG74" t="str">
        <f>HYPERLINK("https://finance.naver.com/item/fchart.naver?code=019175", "신풍제약우 차트보기")</f>
        <v>신풍제약우 차트보기</v>
      </c>
    </row>
    <row r="75" spans="1:33" x14ac:dyDescent="0.3">
      <c r="A75" t="s">
        <v>327</v>
      </c>
      <c r="B75" t="s">
        <v>55</v>
      </c>
      <c r="C75" t="s">
        <v>328</v>
      </c>
      <c r="D75">
        <v>411367.67</v>
      </c>
      <c r="E75" t="s">
        <v>329</v>
      </c>
      <c r="F75">
        <v>0</v>
      </c>
      <c r="G75">
        <v>1.059999942779541</v>
      </c>
      <c r="H75">
        <v>0</v>
      </c>
      <c r="I75">
        <v>0</v>
      </c>
      <c r="J75" t="s">
        <v>330</v>
      </c>
      <c r="K75">
        <v>913</v>
      </c>
      <c r="L75">
        <v>687</v>
      </c>
      <c r="M75">
        <v>-24.75</v>
      </c>
      <c r="N75">
        <v>0.59</v>
      </c>
      <c r="O75">
        <v>-5.2</v>
      </c>
      <c r="P75">
        <v>2.02</v>
      </c>
      <c r="Q75">
        <v>-5.65</v>
      </c>
      <c r="R75">
        <v>-3.28</v>
      </c>
      <c r="S75">
        <v>2.86</v>
      </c>
      <c r="T75">
        <v>1.59</v>
      </c>
      <c r="U75">
        <v>1.47</v>
      </c>
      <c r="V75">
        <v>2.27</v>
      </c>
      <c r="W75">
        <v>3.37</v>
      </c>
      <c r="X75">
        <v>3.05</v>
      </c>
      <c r="Y75">
        <v>6.01</v>
      </c>
      <c r="Z75">
        <v>0.37</v>
      </c>
      <c r="AA75">
        <v>3.54</v>
      </c>
      <c r="AB75">
        <v>0.89</v>
      </c>
      <c r="AC75">
        <v>1.68</v>
      </c>
      <c r="AD75">
        <v>1.08</v>
      </c>
      <c r="AE75">
        <v>0.48</v>
      </c>
      <c r="AF75">
        <v>1.34</v>
      </c>
      <c r="AG75" t="str">
        <f>HYPERLINK("https://finance.naver.com/item/fchart.naver?code=049080", "기가레인 차트보기")</f>
        <v>기가레인 차트보기</v>
      </c>
    </row>
    <row r="76" spans="1:33" x14ac:dyDescent="0.3">
      <c r="A76" t="s">
        <v>331</v>
      </c>
      <c r="B76" t="s">
        <v>55</v>
      </c>
      <c r="C76" t="s">
        <v>332</v>
      </c>
      <c r="D76">
        <v>22806.33</v>
      </c>
      <c r="E76" t="s">
        <v>333</v>
      </c>
      <c r="F76">
        <v>10.33</v>
      </c>
      <c r="G76">
        <v>0.31999999284744263</v>
      </c>
      <c r="H76">
        <v>423</v>
      </c>
      <c r="I76">
        <v>3.4300000667572021</v>
      </c>
      <c r="J76" t="s">
        <v>334</v>
      </c>
      <c r="K76">
        <v>5200</v>
      </c>
      <c r="L76">
        <v>4370</v>
      </c>
      <c r="M76">
        <v>-15.96</v>
      </c>
      <c r="N76">
        <v>-0.56999999999999995</v>
      </c>
      <c r="O76">
        <v>-0.79</v>
      </c>
      <c r="P76">
        <v>-1.51</v>
      </c>
      <c r="Q76">
        <v>-4.76</v>
      </c>
      <c r="R76">
        <v>-6.05</v>
      </c>
      <c r="S76">
        <v>-0.96</v>
      </c>
      <c r="T76">
        <v>0.91</v>
      </c>
      <c r="U76">
        <v>1.2</v>
      </c>
      <c r="V76">
        <v>1.45</v>
      </c>
      <c r="W76">
        <v>2.59</v>
      </c>
      <c r="X76">
        <v>1.82</v>
      </c>
      <c r="Y76">
        <v>1.76</v>
      </c>
      <c r="Z76">
        <v>0.63</v>
      </c>
      <c r="AA76">
        <v>0.66</v>
      </c>
      <c r="AB76">
        <v>1.04</v>
      </c>
      <c r="AC76">
        <v>1.84</v>
      </c>
      <c r="AD76">
        <v>3.32</v>
      </c>
      <c r="AE76">
        <v>0.55000000000000004</v>
      </c>
      <c r="AF76">
        <v>1.34</v>
      </c>
      <c r="AG76" t="str">
        <f>HYPERLINK("https://finance.naver.com/item/fchart.naver?code=078020", "LS증권 차트보기")</f>
        <v>LS증권 차트보기</v>
      </c>
    </row>
    <row r="77" spans="1:33" x14ac:dyDescent="0.3">
      <c r="A77" t="s">
        <v>335</v>
      </c>
      <c r="B77" t="s">
        <v>55</v>
      </c>
      <c r="C77" t="s">
        <v>336</v>
      </c>
      <c r="D77">
        <v>48196.19</v>
      </c>
      <c r="E77" t="s">
        <v>337</v>
      </c>
      <c r="J77" t="s">
        <v>338</v>
      </c>
      <c r="K77">
        <v>439</v>
      </c>
      <c r="L77">
        <v>433</v>
      </c>
      <c r="M77">
        <v>-1.37</v>
      </c>
      <c r="N77">
        <v>0.23</v>
      </c>
      <c r="O77">
        <v>-1.81</v>
      </c>
      <c r="P77">
        <v>2.92</v>
      </c>
      <c r="Q77">
        <v>-3.87</v>
      </c>
      <c r="R77">
        <v>4.25</v>
      </c>
      <c r="S77">
        <v>1.1499999999999999</v>
      </c>
      <c r="T77">
        <v>0.65</v>
      </c>
      <c r="U77">
        <v>1.1499999999999999</v>
      </c>
      <c r="V77">
        <v>1.66</v>
      </c>
      <c r="W77">
        <v>3.62</v>
      </c>
      <c r="X77">
        <v>1.96</v>
      </c>
      <c r="Y77">
        <v>0.91</v>
      </c>
      <c r="Z77">
        <v>0.35</v>
      </c>
      <c r="AA77">
        <v>1.57</v>
      </c>
      <c r="AB77">
        <v>1.76</v>
      </c>
      <c r="AC77">
        <v>1.07</v>
      </c>
      <c r="AD77">
        <v>2.17</v>
      </c>
      <c r="AE77">
        <v>1.26</v>
      </c>
      <c r="AF77">
        <v>1.3633333333333331</v>
      </c>
      <c r="AG77" t="str">
        <f>HYPERLINK("https://finance.naver.com/item/fchart.naver?code=900070", "글로벌에스엠 차트보기")</f>
        <v>글로벌에스엠 차트보기</v>
      </c>
    </row>
    <row r="78" spans="1:33" x14ac:dyDescent="0.3">
      <c r="A78" t="s">
        <v>339</v>
      </c>
      <c r="B78" t="s">
        <v>34</v>
      </c>
      <c r="C78" t="s">
        <v>340</v>
      </c>
      <c r="D78">
        <v>920738.52</v>
      </c>
      <c r="E78" t="s">
        <v>341</v>
      </c>
      <c r="F78">
        <v>4.62</v>
      </c>
      <c r="G78">
        <v>0.37000000476837158</v>
      </c>
      <c r="H78">
        <v>3162</v>
      </c>
      <c r="I78">
        <v>6.7399997711181641</v>
      </c>
      <c r="J78" t="s">
        <v>342</v>
      </c>
      <c r="K78">
        <v>13980</v>
      </c>
      <c r="L78">
        <v>14600</v>
      </c>
      <c r="M78">
        <v>4.43</v>
      </c>
      <c r="N78">
        <v>1.67</v>
      </c>
      <c r="O78">
        <v>1.59</v>
      </c>
      <c r="P78">
        <v>-0.5</v>
      </c>
      <c r="Q78">
        <v>-1.36</v>
      </c>
      <c r="R78">
        <v>1.08</v>
      </c>
      <c r="S78">
        <v>3.09</v>
      </c>
      <c r="T78">
        <v>0.95</v>
      </c>
      <c r="U78">
        <v>1.1299999999999999</v>
      </c>
      <c r="V78">
        <v>1.27</v>
      </c>
      <c r="W78">
        <v>1.69</v>
      </c>
      <c r="X78">
        <v>1.3</v>
      </c>
      <c r="Y78">
        <v>1.03</v>
      </c>
      <c r="Z78">
        <v>1.76</v>
      </c>
      <c r="AA78">
        <v>1.41</v>
      </c>
      <c r="AB78">
        <v>0.39</v>
      </c>
      <c r="AC78">
        <v>0.8</v>
      </c>
      <c r="AD78">
        <v>0.83</v>
      </c>
      <c r="AE78">
        <v>3</v>
      </c>
      <c r="AF78">
        <v>1.365</v>
      </c>
      <c r="AG78" t="str">
        <f>HYPERLINK("https://finance.naver.com/item/fchart.naver?code=024110", "기업은행 차트보기")</f>
        <v>기업은행 차트보기</v>
      </c>
    </row>
    <row r="79" spans="1:33" x14ac:dyDescent="0.3">
      <c r="A79" t="s">
        <v>343</v>
      </c>
      <c r="B79" t="s">
        <v>55</v>
      </c>
      <c r="C79" t="s">
        <v>344</v>
      </c>
      <c r="D79">
        <v>144417.14000000001</v>
      </c>
      <c r="E79" t="s">
        <v>345</v>
      </c>
      <c r="F79">
        <v>0</v>
      </c>
      <c r="G79">
        <v>8.130000114440918</v>
      </c>
      <c r="H79">
        <v>0</v>
      </c>
      <c r="I79">
        <v>0</v>
      </c>
      <c r="J79" t="s">
        <v>346</v>
      </c>
      <c r="K79">
        <v>15180</v>
      </c>
      <c r="L79">
        <v>14410</v>
      </c>
      <c r="M79">
        <v>-5.07</v>
      </c>
      <c r="N79">
        <v>7.78</v>
      </c>
      <c r="O79">
        <v>7.38</v>
      </c>
      <c r="P79">
        <v>2.06</v>
      </c>
      <c r="Q79">
        <v>-1.68</v>
      </c>
      <c r="R79">
        <v>-11.42</v>
      </c>
      <c r="S79">
        <v>-0.99</v>
      </c>
      <c r="T79">
        <v>3.49</v>
      </c>
      <c r="U79">
        <v>5.05</v>
      </c>
      <c r="V79">
        <v>5.34</v>
      </c>
      <c r="W79">
        <v>4.71</v>
      </c>
      <c r="X79">
        <v>3.89</v>
      </c>
      <c r="Y79">
        <v>1.2</v>
      </c>
      <c r="Z79">
        <v>2.23</v>
      </c>
      <c r="AA79">
        <v>1.46</v>
      </c>
      <c r="AB79">
        <v>0.39</v>
      </c>
      <c r="AC79">
        <v>0.36</v>
      </c>
      <c r="AD79">
        <v>2.94</v>
      </c>
      <c r="AE79">
        <v>0.83</v>
      </c>
      <c r="AF79">
        <v>1.368333333333333</v>
      </c>
      <c r="AG79" t="str">
        <f>HYPERLINK("https://finance.naver.com/item/fchart.naver?code=196300", "애니젠 차트보기")</f>
        <v>애니젠 차트보기</v>
      </c>
    </row>
    <row r="80" spans="1:33" x14ac:dyDescent="0.3">
      <c r="A80" t="s">
        <v>347</v>
      </c>
      <c r="B80" t="s">
        <v>55</v>
      </c>
      <c r="C80" t="s">
        <v>348</v>
      </c>
      <c r="D80">
        <v>773828.48</v>
      </c>
      <c r="E80" t="s">
        <v>349</v>
      </c>
      <c r="F80">
        <v>0</v>
      </c>
      <c r="G80">
        <v>4.429999828338623</v>
      </c>
      <c r="H80">
        <v>0</v>
      </c>
      <c r="I80">
        <v>0</v>
      </c>
      <c r="J80" t="s">
        <v>350</v>
      </c>
      <c r="K80">
        <v>8910</v>
      </c>
      <c r="L80">
        <v>9330</v>
      </c>
      <c r="M80">
        <v>4.71</v>
      </c>
      <c r="N80">
        <v>2.5299999999999998</v>
      </c>
      <c r="O80">
        <v>-1.48</v>
      </c>
      <c r="P80">
        <v>1.82</v>
      </c>
      <c r="Q80">
        <v>6.39</v>
      </c>
      <c r="R80">
        <v>18.399999999999999</v>
      </c>
      <c r="S80">
        <v>-7.99</v>
      </c>
      <c r="T80">
        <v>2.76</v>
      </c>
      <c r="U80">
        <v>5.2</v>
      </c>
      <c r="V80">
        <v>4.09</v>
      </c>
      <c r="W80">
        <v>3.61</v>
      </c>
      <c r="X80">
        <v>6.84</v>
      </c>
      <c r="Y80">
        <v>3.76</v>
      </c>
      <c r="Z80">
        <v>0.92</v>
      </c>
      <c r="AA80">
        <v>0.28000000000000003</v>
      </c>
      <c r="AB80">
        <v>0.44</v>
      </c>
      <c r="AC80">
        <v>1.77</v>
      </c>
      <c r="AD80">
        <v>2.69</v>
      </c>
      <c r="AE80">
        <v>2.12</v>
      </c>
      <c r="AF80">
        <v>1.37</v>
      </c>
      <c r="AG80" t="str">
        <f>HYPERLINK("https://finance.naver.com/item/fchart.naver?code=115450", "HLB테라퓨틱스 차트보기")</f>
        <v>HLB테라퓨틱스 차트보기</v>
      </c>
    </row>
    <row r="81" spans="1:33" x14ac:dyDescent="0.3">
      <c r="A81" t="s">
        <v>351</v>
      </c>
      <c r="B81" t="s">
        <v>34</v>
      </c>
      <c r="C81" t="s">
        <v>352</v>
      </c>
      <c r="D81">
        <v>568.80999999999995</v>
      </c>
      <c r="E81" t="s">
        <v>353</v>
      </c>
      <c r="F81">
        <v>0</v>
      </c>
      <c r="G81">
        <v>0</v>
      </c>
      <c r="H81">
        <v>0</v>
      </c>
      <c r="I81">
        <v>3.2999999523162842</v>
      </c>
      <c r="J81" t="s">
        <v>354</v>
      </c>
      <c r="K81">
        <v>9000</v>
      </c>
      <c r="L81">
        <v>8490</v>
      </c>
      <c r="M81">
        <v>-5.67</v>
      </c>
      <c r="N81">
        <v>-1.28</v>
      </c>
      <c r="O81">
        <v>-3.18</v>
      </c>
      <c r="P81">
        <v>-1.35</v>
      </c>
      <c r="Q81">
        <v>0.11</v>
      </c>
      <c r="R81">
        <v>0.23</v>
      </c>
      <c r="S81">
        <v>-0.11</v>
      </c>
      <c r="T81">
        <v>0.76</v>
      </c>
      <c r="U81">
        <v>0.7</v>
      </c>
      <c r="V81">
        <v>1</v>
      </c>
      <c r="W81">
        <v>1.71</v>
      </c>
      <c r="X81">
        <v>0.48</v>
      </c>
      <c r="Y81">
        <v>0.81</v>
      </c>
      <c r="Z81">
        <v>1.68</v>
      </c>
      <c r="AA81">
        <v>4.54</v>
      </c>
      <c r="AB81">
        <v>1.35</v>
      </c>
      <c r="AC81">
        <v>0.06</v>
      </c>
      <c r="AD81">
        <v>0.48</v>
      </c>
      <c r="AE81">
        <v>0.14000000000000001</v>
      </c>
      <c r="AF81">
        <v>1.375</v>
      </c>
      <c r="AG81" t="str">
        <f>HYPERLINK("https://finance.naver.com/item/fchart.naver?code=38380K", "LX홀딩스1우 차트보기")</f>
        <v>LX홀딩스1우 차트보기</v>
      </c>
    </row>
    <row r="82" spans="1:33" x14ac:dyDescent="0.3">
      <c r="A82" t="s">
        <v>355</v>
      </c>
      <c r="B82" t="s">
        <v>34</v>
      </c>
      <c r="C82" t="s">
        <v>356</v>
      </c>
      <c r="D82">
        <v>174221.67</v>
      </c>
      <c r="E82" t="s">
        <v>357</v>
      </c>
      <c r="F82">
        <v>0</v>
      </c>
      <c r="G82">
        <v>2.190000057220459</v>
      </c>
      <c r="H82">
        <v>0</v>
      </c>
      <c r="I82">
        <v>0</v>
      </c>
      <c r="J82" t="s">
        <v>358</v>
      </c>
      <c r="K82">
        <v>13950</v>
      </c>
      <c r="L82">
        <v>11520</v>
      </c>
      <c r="M82">
        <v>-17.420000000000002</v>
      </c>
      <c r="N82">
        <v>-2.37</v>
      </c>
      <c r="O82">
        <v>0.56999999999999995</v>
      </c>
      <c r="P82">
        <v>-3.41</v>
      </c>
      <c r="Q82">
        <v>10.42</v>
      </c>
      <c r="R82">
        <v>-1.82</v>
      </c>
      <c r="S82">
        <v>-7.03</v>
      </c>
      <c r="T82">
        <v>2.17</v>
      </c>
      <c r="U82">
        <v>1.68</v>
      </c>
      <c r="V82">
        <v>1.78</v>
      </c>
      <c r="W82">
        <v>9.5299999999999994</v>
      </c>
      <c r="X82">
        <v>1.3</v>
      </c>
      <c r="Y82">
        <v>2.9</v>
      </c>
      <c r="Z82">
        <v>1.0900000000000001</v>
      </c>
      <c r="AA82">
        <v>0.34</v>
      </c>
      <c r="AB82">
        <v>1.92</v>
      </c>
      <c r="AC82">
        <v>1.0900000000000001</v>
      </c>
      <c r="AD82">
        <v>1.4</v>
      </c>
      <c r="AE82">
        <v>2.42</v>
      </c>
      <c r="AF82">
        <v>1.3766666666666669</v>
      </c>
      <c r="AG82" t="str">
        <f>HYPERLINK("https://finance.naver.com/item/fchart.naver?code=019170", "신풍제약 차트보기")</f>
        <v>신풍제약 차트보기</v>
      </c>
    </row>
    <row r="83" spans="1:33" x14ac:dyDescent="0.3">
      <c r="A83" t="s">
        <v>359</v>
      </c>
      <c r="B83" t="s">
        <v>55</v>
      </c>
      <c r="C83" t="s">
        <v>360</v>
      </c>
      <c r="D83">
        <v>116246.1</v>
      </c>
      <c r="E83" t="s">
        <v>361</v>
      </c>
      <c r="F83">
        <v>0</v>
      </c>
      <c r="G83">
        <v>2.0499999523162842</v>
      </c>
      <c r="H83">
        <v>0</v>
      </c>
      <c r="I83">
        <v>1.679999947547913</v>
      </c>
      <c r="J83" t="s">
        <v>362</v>
      </c>
      <c r="K83">
        <v>6510</v>
      </c>
      <c r="L83">
        <v>5970</v>
      </c>
      <c r="M83">
        <v>-8.2899999999999991</v>
      </c>
      <c r="N83">
        <v>3.83</v>
      </c>
      <c r="O83">
        <v>3.71</v>
      </c>
      <c r="P83">
        <v>-3.49</v>
      </c>
      <c r="Q83">
        <v>-4.9800000000000004</v>
      </c>
      <c r="R83">
        <v>1.43</v>
      </c>
      <c r="S83">
        <v>0.16</v>
      </c>
      <c r="T83">
        <v>2.16</v>
      </c>
      <c r="U83">
        <v>2.06</v>
      </c>
      <c r="V83">
        <v>1.33</v>
      </c>
      <c r="W83">
        <v>4.6900000000000004</v>
      </c>
      <c r="X83">
        <v>1.52</v>
      </c>
      <c r="Y83">
        <v>2.08</v>
      </c>
      <c r="Z83">
        <v>1.77</v>
      </c>
      <c r="AA83">
        <v>1.8</v>
      </c>
      <c r="AB83">
        <v>2.62</v>
      </c>
      <c r="AC83">
        <v>1.06</v>
      </c>
      <c r="AD83">
        <v>0.94</v>
      </c>
      <c r="AE83">
        <v>0.08</v>
      </c>
      <c r="AF83">
        <v>1.378333333333333</v>
      </c>
      <c r="AG83" t="str">
        <f>HYPERLINK("https://finance.naver.com/item/fchart.naver?code=048530", "인트론바이오 차트보기")</f>
        <v>인트론바이오 차트보기</v>
      </c>
    </row>
    <row r="84" spans="1:33" x14ac:dyDescent="0.3">
      <c r="A84" t="s">
        <v>363</v>
      </c>
      <c r="B84" t="s">
        <v>55</v>
      </c>
      <c r="C84" t="s">
        <v>364</v>
      </c>
      <c r="D84">
        <v>2905.33</v>
      </c>
      <c r="E84" t="s">
        <v>365</v>
      </c>
      <c r="F84">
        <v>0</v>
      </c>
      <c r="G84">
        <v>0</v>
      </c>
      <c r="H84">
        <v>0</v>
      </c>
      <c r="I84">
        <v>0</v>
      </c>
      <c r="J84" t="s">
        <v>366</v>
      </c>
      <c r="K84">
        <v>2370</v>
      </c>
      <c r="L84">
        <v>2180</v>
      </c>
      <c r="M84">
        <v>-8.02</v>
      </c>
      <c r="N84">
        <v>-1.8</v>
      </c>
      <c r="O84">
        <v>-0.67</v>
      </c>
      <c r="P84">
        <v>-0.44</v>
      </c>
      <c r="Q84">
        <v>-3.8</v>
      </c>
      <c r="R84">
        <v>-0.21</v>
      </c>
      <c r="S84">
        <v>1.51</v>
      </c>
      <c r="T84">
        <v>0.7</v>
      </c>
      <c r="U84">
        <v>0.71</v>
      </c>
      <c r="V84">
        <v>1.27</v>
      </c>
      <c r="W84">
        <v>1.54</v>
      </c>
      <c r="X84">
        <v>0.6</v>
      </c>
      <c r="Y84">
        <v>0.94</v>
      </c>
      <c r="Z84">
        <v>2.57</v>
      </c>
      <c r="AA84">
        <v>0.94</v>
      </c>
      <c r="AB84">
        <v>0.35</v>
      </c>
      <c r="AC84">
        <v>2.4700000000000002</v>
      </c>
      <c r="AD84">
        <v>0.35</v>
      </c>
      <c r="AE84">
        <v>1.61</v>
      </c>
      <c r="AF84">
        <v>1.381666666666667</v>
      </c>
      <c r="AG84" t="str">
        <f>HYPERLINK("https://finance.naver.com/item/fchart.naver?code=442130", "유진스팩9호 차트보기")</f>
        <v>유진스팩9호 차트보기</v>
      </c>
    </row>
    <row r="85" spans="1:33" x14ac:dyDescent="0.3">
      <c r="A85" t="s">
        <v>367</v>
      </c>
      <c r="B85" t="s">
        <v>55</v>
      </c>
      <c r="C85" t="s">
        <v>368</v>
      </c>
      <c r="D85">
        <v>68868.62</v>
      </c>
      <c r="E85" t="s">
        <v>369</v>
      </c>
      <c r="F85">
        <v>18.73</v>
      </c>
      <c r="G85">
        <v>2.6099998950958252</v>
      </c>
      <c r="H85">
        <v>801</v>
      </c>
      <c r="I85">
        <v>0</v>
      </c>
      <c r="J85" t="s">
        <v>370</v>
      </c>
      <c r="K85">
        <v>15140</v>
      </c>
      <c r="L85">
        <v>15000</v>
      </c>
      <c r="M85">
        <v>-0.92</v>
      </c>
      <c r="N85">
        <v>15.12</v>
      </c>
      <c r="O85">
        <v>-2.83</v>
      </c>
      <c r="P85">
        <v>-4.2</v>
      </c>
      <c r="Q85">
        <v>-0.5</v>
      </c>
      <c r="R85">
        <v>-4.66</v>
      </c>
      <c r="S85">
        <v>0</v>
      </c>
      <c r="T85">
        <v>3.42</v>
      </c>
      <c r="U85">
        <v>3.19</v>
      </c>
      <c r="V85">
        <v>2.48</v>
      </c>
      <c r="W85">
        <v>3.9</v>
      </c>
      <c r="X85">
        <v>3.93</v>
      </c>
      <c r="Y85">
        <v>1.64</v>
      </c>
      <c r="Z85">
        <v>4.42</v>
      </c>
      <c r="AA85">
        <v>0.89</v>
      </c>
      <c r="AB85">
        <v>1.69</v>
      </c>
      <c r="AC85">
        <v>0.13</v>
      </c>
      <c r="AD85">
        <v>1.19</v>
      </c>
      <c r="AE85">
        <v>0</v>
      </c>
      <c r="AF85">
        <v>1.3866666666666669</v>
      </c>
      <c r="AG85" t="str">
        <f>HYPERLINK("https://finance.naver.com/item/fchart.naver?code=182360", "큐브엔터 차트보기")</f>
        <v>큐브엔터 차트보기</v>
      </c>
    </row>
    <row r="86" spans="1:33" x14ac:dyDescent="0.3">
      <c r="A86" t="s">
        <v>371</v>
      </c>
      <c r="B86" t="s">
        <v>34</v>
      </c>
      <c r="C86" t="s">
        <v>372</v>
      </c>
      <c r="D86">
        <v>15133.62</v>
      </c>
      <c r="E86" t="s">
        <v>373</v>
      </c>
      <c r="F86">
        <v>22.72</v>
      </c>
      <c r="G86">
        <v>0.1800000071525574</v>
      </c>
      <c r="H86">
        <v>621</v>
      </c>
      <c r="I86">
        <v>3.9000000953674321</v>
      </c>
      <c r="J86" t="s">
        <v>374</v>
      </c>
      <c r="K86">
        <v>16480</v>
      </c>
      <c r="L86">
        <v>14110</v>
      </c>
      <c r="M86">
        <v>-14.38</v>
      </c>
      <c r="N86">
        <v>-1.4</v>
      </c>
      <c r="O86">
        <v>-0.21</v>
      </c>
      <c r="P86">
        <v>-2.72</v>
      </c>
      <c r="Q86">
        <v>-4.7</v>
      </c>
      <c r="R86">
        <v>-1.31</v>
      </c>
      <c r="S86">
        <v>-1.85</v>
      </c>
      <c r="T86">
        <v>1.03</v>
      </c>
      <c r="U86">
        <v>0.75</v>
      </c>
      <c r="V86">
        <v>1.1599999999999999</v>
      </c>
      <c r="W86">
        <v>2.36</v>
      </c>
      <c r="X86">
        <v>2.1</v>
      </c>
      <c r="Y86">
        <v>1.04</v>
      </c>
      <c r="Z86">
        <v>1.36</v>
      </c>
      <c r="AA86">
        <v>0.28000000000000003</v>
      </c>
      <c r="AB86">
        <v>2.34</v>
      </c>
      <c r="AC86">
        <v>1.99</v>
      </c>
      <c r="AD86">
        <v>0.62</v>
      </c>
      <c r="AE86">
        <v>1.78</v>
      </c>
      <c r="AF86">
        <v>1.395</v>
      </c>
      <c r="AG86" t="str">
        <f>HYPERLINK("https://finance.naver.com/item/fchart.naver?code=002020", "코오롱 차트보기")</f>
        <v>코오롱 차트보기</v>
      </c>
    </row>
    <row r="87" spans="1:33" x14ac:dyDescent="0.3">
      <c r="A87" t="s">
        <v>375</v>
      </c>
      <c r="B87" t="s">
        <v>55</v>
      </c>
      <c r="C87" t="s">
        <v>376</v>
      </c>
      <c r="D87">
        <v>89972.81</v>
      </c>
      <c r="E87" t="s">
        <v>377</v>
      </c>
      <c r="F87">
        <v>3.52</v>
      </c>
      <c r="G87">
        <v>0.239999994635582</v>
      </c>
      <c r="H87">
        <v>959</v>
      </c>
      <c r="I87">
        <v>5.0300002098083496</v>
      </c>
      <c r="J87" t="s">
        <v>378</v>
      </c>
      <c r="K87">
        <v>3585</v>
      </c>
      <c r="L87">
        <v>3380</v>
      </c>
      <c r="M87">
        <v>-5.72</v>
      </c>
      <c r="N87">
        <v>-1.02</v>
      </c>
      <c r="O87">
        <v>-0.28999999999999998</v>
      </c>
      <c r="P87">
        <v>-0.43</v>
      </c>
      <c r="Q87">
        <v>-5.07</v>
      </c>
      <c r="R87">
        <v>-0.82</v>
      </c>
      <c r="S87">
        <v>3.59</v>
      </c>
      <c r="T87">
        <v>0.7</v>
      </c>
      <c r="U87">
        <v>0.53</v>
      </c>
      <c r="V87">
        <v>0.9</v>
      </c>
      <c r="W87">
        <v>2.27</v>
      </c>
      <c r="X87">
        <v>1.22</v>
      </c>
      <c r="Y87">
        <v>1.2</v>
      </c>
      <c r="Z87">
        <v>1.46</v>
      </c>
      <c r="AA87">
        <v>0.55000000000000004</v>
      </c>
      <c r="AB87">
        <v>0.48</v>
      </c>
      <c r="AC87">
        <v>2.23</v>
      </c>
      <c r="AD87">
        <v>0.67</v>
      </c>
      <c r="AE87">
        <v>2.99</v>
      </c>
      <c r="AF87">
        <v>1.3966666666666669</v>
      </c>
      <c r="AG87" t="str">
        <f>HYPERLINK("https://finance.naver.com/item/fchart.naver?code=023410", "유진기업 차트보기")</f>
        <v>유진기업 차트보기</v>
      </c>
    </row>
    <row r="88" spans="1:33" x14ac:dyDescent="0.3">
      <c r="A88" t="s">
        <v>379</v>
      </c>
      <c r="B88" t="s">
        <v>34</v>
      </c>
      <c r="C88" t="s">
        <v>380</v>
      </c>
      <c r="D88">
        <v>135004.85999999999</v>
      </c>
      <c r="E88" t="s">
        <v>381</v>
      </c>
      <c r="F88">
        <v>7.55</v>
      </c>
      <c r="G88">
        <v>0.49000000953674322</v>
      </c>
      <c r="H88">
        <v>689</v>
      </c>
      <c r="I88">
        <v>3.2699999809265141</v>
      </c>
      <c r="J88" t="s">
        <v>382</v>
      </c>
      <c r="K88">
        <v>5510</v>
      </c>
      <c r="L88">
        <v>5200</v>
      </c>
      <c r="M88">
        <v>-5.63</v>
      </c>
      <c r="N88">
        <v>5.91</v>
      </c>
      <c r="O88">
        <v>-0.4</v>
      </c>
      <c r="P88">
        <v>-0.4</v>
      </c>
      <c r="Q88">
        <v>-12.63</v>
      </c>
      <c r="R88">
        <v>3.05</v>
      </c>
      <c r="S88">
        <v>1.0900000000000001</v>
      </c>
      <c r="T88">
        <v>2.35</v>
      </c>
      <c r="U88">
        <v>1.1100000000000001</v>
      </c>
      <c r="V88">
        <v>1.61</v>
      </c>
      <c r="W88">
        <v>3.47</v>
      </c>
      <c r="X88">
        <v>2.78</v>
      </c>
      <c r="Y88">
        <v>2.0499999999999998</v>
      </c>
      <c r="Z88">
        <v>2.5099999999999998</v>
      </c>
      <c r="AA88">
        <v>0.36</v>
      </c>
      <c r="AB88">
        <v>0.25</v>
      </c>
      <c r="AC88">
        <v>3.64</v>
      </c>
      <c r="AD88">
        <v>1.1000000000000001</v>
      </c>
      <c r="AE88">
        <v>0.53</v>
      </c>
      <c r="AF88">
        <v>1.398333333333333</v>
      </c>
      <c r="AG88" t="str">
        <f>HYPERLINK("https://finance.naver.com/item/fchart.naver?code=003010", "혜인 차트보기")</f>
        <v>혜인 차트보기</v>
      </c>
    </row>
    <row r="89" spans="1:33" x14ac:dyDescent="0.3">
      <c r="A89" t="s">
        <v>383</v>
      </c>
      <c r="B89" t="s">
        <v>34</v>
      </c>
      <c r="C89" t="s">
        <v>384</v>
      </c>
      <c r="D89">
        <v>145571.9</v>
      </c>
      <c r="E89" t="s">
        <v>385</v>
      </c>
      <c r="F89">
        <v>8.49</v>
      </c>
      <c r="G89">
        <v>0.62000000476837158</v>
      </c>
      <c r="H89">
        <v>439</v>
      </c>
      <c r="I89">
        <v>5.369999885559082</v>
      </c>
      <c r="J89" t="s">
        <v>386</v>
      </c>
      <c r="K89">
        <v>3935</v>
      </c>
      <c r="L89">
        <v>3725</v>
      </c>
      <c r="M89">
        <v>-5.34</v>
      </c>
      <c r="N89">
        <v>0.68</v>
      </c>
      <c r="O89">
        <v>-2.36</v>
      </c>
      <c r="P89">
        <v>1.45</v>
      </c>
      <c r="Q89">
        <v>-4.6399999999999997</v>
      </c>
      <c r="R89">
        <v>0</v>
      </c>
      <c r="S89">
        <v>-9.98</v>
      </c>
      <c r="T89">
        <v>0.63</v>
      </c>
      <c r="U89">
        <v>1.61</v>
      </c>
      <c r="V89">
        <v>1.05</v>
      </c>
      <c r="W89">
        <v>2.37</v>
      </c>
      <c r="X89">
        <v>0.79</v>
      </c>
      <c r="Y89">
        <v>3.98</v>
      </c>
      <c r="Z89">
        <v>1.08</v>
      </c>
      <c r="AA89">
        <v>1.47</v>
      </c>
      <c r="AB89">
        <v>1.38</v>
      </c>
      <c r="AC89">
        <v>1.96</v>
      </c>
      <c r="AD89">
        <v>0</v>
      </c>
      <c r="AE89">
        <v>2.5099999999999998</v>
      </c>
      <c r="AF89">
        <v>1.4</v>
      </c>
      <c r="AG89" t="str">
        <f>HYPERLINK("https://finance.naver.com/item/fchart.naver?code=014530", "극동유화 차트보기")</f>
        <v>극동유화 차트보기</v>
      </c>
    </row>
    <row r="90" spans="1:33" x14ac:dyDescent="0.3">
      <c r="A90" t="s">
        <v>387</v>
      </c>
      <c r="B90" t="s">
        <v>55</v>
      </c>
      <c r="C90" t="s">
        <v>388</v>
      </c>
      <c r="D90">
        <v>3710.38</v>
      </c>
      <c r="E90" t="s">
        <v>389</v>
      </c>
      <c r="F90">
        <v>0</v>
      </c>
      <c r="G90">
        <v>0</v>
      </c>
      <c r="H90">
        <v>0</v>
      </c>
      <c r="I90">
        <v>0</v>
      </c>
      <c r="J90" t="s">
        <v>390</v>
      </c>
      <c r="K90">
        <v>2180</v>
      </c>
      <c r="L90">
        <v>2130</v>
      </c>
      <c r="M90">
        <v>-2.29</v>
      </c>
      <c r="N90">
        <v>-0.7</v>
      </c>
      <c r="O90">
        <v>0.47</v>
      </c>
      <c r="P90">
        <v>-2.3199999999999998</v>
      </c>
      <c r="Q90">
        <v>-1.1499999999999999</v>
      </c>
      <c r="R90">
        <v>-0.23</v>
      </c>
      <c r="S90">
        <v>1.39</v>
      </c>
      <c r="T90">
        <v>0.81</v>
      </c>
      <c r="U90">
        <v>0.63</v>
      </c>
      <c r="V90">
        <v>0.66</v>
      </c>
      <c r="W90">
        <v>0.9</v>
      </c>
      <c r="X90">
        <v>0.87</v>
      </c>
      <c r="Y90">
        <v>0.78</v>
      </c>
      <c r="Z90">
        <v>0.86</v>
      </c>
      <c r="AA90">
        <v>0.75</v>
      </c>
      <c r="AB90">
        <v>3.52</v>
      </c>
      <c r="AC90">
        <v>1.28</v>
      </c>
      <c r="AD90">
        <v>0.26</v>
      </c>
      <c r="AE90">
        <v>1.78</v>
      </c>
      <c r="AF90">
        <v>1.408333333333333</v>
      </c>
      <c r="AG90" t="str">
        <f>HYPERLINK("https://finance.naver.com/item/fchart.naver?code=454640", "하나29호스팩 차트보기")</f>
        <v>하나29호스팩 차트보기</v>
      </c>
    </row>
    <row r="91" spans="1:33" x14ac:dyDescent="0.3">
      <c r="A91" t="s">
        <v>391</v>
      </c>
      <c r="B91" t="s">
        <v>55</v>
      </c>
      <c r="C91" t="s">
        <v>392</v>
      </c>
      <c r="D91">
        <v>5818.38</v>
      </c>
      <c r="E91" t="s">
        <v>393</v>
      </c>
      <c r="F91">
        <v>17.14</v>
      </c>
      <c r="G91">
        <v>1.879999995231628</v>
      </c>
      <c r="H91">
        <v>395</v>
      </c>
      <c r="I91">
        <v>5.9099998474121094</v>
      </c>
      <c r="J91" t="s">
        <v>394</v>
      </c>
      <c r="K91">
        <v>8540</v>
      </c>
      <c r="L91">
        <v>6770</v>
      </c>
      <c r="M91">
        <v>-20.73</v>
      </c>
      <c r="N91">
        <v>0.3</v>
      </c>
      <c r="O91">
        <v>-0.87</v>
      </c>
      <c r="P91">
        <v>-1.94</v>
      </c>
      <c r="Q91">
        <v>-6.85</v>
      </c>
      <c r="R91">
        <v>0.26</v>
      </c>
      <c r="S91">
        <v>-5.15</v>
      </c>
      <c r="T91">
        <v>1.31</v>
      </c>
      <c r="U91">
        <v>1.51</v>
      </c>
      <c r="V91">
        <v>1.77</v>
      </c>
      <c r="W91">
        <v>4.09</v>
      </c>
      <c r="X91">
        <v>3.54</v>
      </c>
      <c r="Y91">
        <v>1.07</v>
      </c>
      <c r="Z91">
        <v>0.23</v>
      </c>
      <c r="AA91">
        <v>0.57999999999999996</v>
      </c>
      <c r="AB91">
        <v>1.1000000000000001</v>
      </c>
      <c r="AC91">
        <v>1.67</v>
      </c>
      <c r="AD91">
        <v>7.0000000000000007E-2</v>
      </c>
      <c r="AE91">
        <v>4.8099999999999996</v>
      </c>
      <c r="AF91">
        <v>1.41</v>
      </c>
      <c r="AG91" t="str">
        <f>HYPERLINK("https://finance.naver.com/item/fchart.naver?code=127980", "화인써키트 차트보기")</f>
        <v>화인써키트 차트보기</v>
      </c>
    </row>
    <row r="92" spans="1:33" x14ac:dyDescent="0.3">
      <c r="A92" t="s">
        <v>395</v>
      </c>
      <c r="B92" t="s">
        <v>55</v>
      </c>
      <c r="C92" t="s">
        <v>396</v>
      </c>
      <c r="D92">
        <v>4360.05</v>
      </c>
      <c r="E92" t="s">
        <v>397</v>
      </c>
      <c r="F92">
        <v>0</v>
      </c>
      <c r="G92">
        <v>0</v>
      </c>
      <c r="H92">
        <v>0</v>
      </c>
      <c r="I92">
        <v>0</v>
      </c>
      <c r="J92" t="s">
        <v>398</v>
      </c>
      <c r="K92">
        <v>2180</v>
      </c>
      <c r="L92">
        <v>2150</v>
      </c>
      <c r="M92">
        <v>-1.38</v>
      </c>
      <c r="N92">
        <v>0</v>
      </c>
      <c r="O92">
        <v>0.7</v>
      </c>
      <c r="P92">
        <v>-1.1599999999999999</v>
      </c>
      <c r="Q92">
        <v>-1.36</v>
      </c>
      <c r="R92">
        <v>-0.45</v>
      </c>
      <c r="S92">
        <v>1.84</v>
      </c>
      <c r="T92">
        <v>0.19</v>
      </c>
      <c r="U92">
        <v>0.57999999999999996</v>
      </c>
      <c r="V92">
        <v>0.61</v>
      </c>
      <c r="W92">
        <v>0.69</v>
      </c>
      <c r="X92">
        <v>0.43</v>
      </c>
      <c r="Y92">
        <v>0.79</v>
      </c>
      <c r="Z92">
        <v>0</v>
      </c>
      <c r="AA92">
        <v>1.21</v>
      </c>
      <c r="AB92">
        <v>1.9</v>
      </c>
      <c r="AC92">
        <v>1.97</v>
      </c>
      <c r="AD92">
        <v>1.05</v>
      </c>
      <c r="AE92">
        <v>2.33</v>
      </c>
      <c r="AF92">
        <v>1.41</v>
      </c>
      <c r="AG92" t="str">
        <f>HYPERLINK("https://finance.naver.com/item/fchart.naver?code=448830", "미래에셋비전스팩3호 차트보기")</f>
        <v>미래에셋비전스팩3호 차트보기</v>
      </c>
    </row>
    <row r="93" spans="1:33" x14ac:dyDescent="0.3">
      <c r="A93" t="s">
        <v>399</v>
      </c>
      <c r="B93" t="s">
        <v>55</v>
      </c>
      <c r="C93" t="s">
        <v>400</v>
      </c>
      <c r="D93">
        <v>3094.81</v>
      </c>
      <c r="E93" t="s">
        <v>401</v>
      </c>
      <c r="F93">
        <v>5.6</v>
      </c>
      <c r="G93">
        <v>0.43999999761581421</v>
      </c>
      <c r="H93">
        <v>4871</v>
      </c>
      <c r="I93">
        <v>5.130000114440918</v>
      </c>
      <c r="J93" t="s">
        <v>402</v>
      </c>
      <c r="K93">
        <v>27600</v>
      </c>
      <c r="L93">
        <v>27300</v>
      </c>
      <c r="M93">
        <v>-1.0900000000000001</v>
      </c>
      <c r="N93">
        <v>-0.36</v>
      </c>
      <c r="O93">
        <v>-0.54</v>
      </c>
      <c r="P93">
        <v>4.1399999999999997</v>
      </c>
      <c r="Q93">
        <v>1.54</v>
      </c>
      <c r="R93">
        <v>0.19</v>
      </c>
      <c r="S93">
        <v>-1.52</v>
      </c>
      <c r="T93">
        <v>0.57999999999999996</v>
      </c>
      <c r="U93">
        <v>0.66</v>
      </c>
      <c r="V93">
        <v>1.03</v>
      </c>
      <c r="W93">
        <v>1.6</v>
      </c>
      <c r="X93">
        <v>0.78</v>
      </c>
      <c r="Y93">
        <v>0.84</v>
      </c>
      <c r="Z93">
        <v>0.62</v>
      </c>
      <c r="AA93">
        <v>0.82</v>
      </c>
      <c r="AB93">
        <v>4.0199999999999996</v>
      </c>
      <c r="AC93">
        <v>0.96</v>
      </c>
      <c r="AD93">
        <v>0.24</v>
      </c>
      <c r="AE93">
        <v>1.81</v>
      </c>
      <c r="AF93">
        <v>1.411666666666666</v>
      </c>
      <c r="AG93" t="str">
        <f>HYPERLINK("https://finance.naver.com/item/fchart.naver?code=003800", "에이스침대 차트보기")</f>
        <v>에이스침대 차트보기</v>
      </c>
    </row>
    <row r="94" spans="1:33" x14ac:dyDescent="0.3">
      <c r="A94" t="s">
        <v>403</v>
      </c>
      <c r="B94" t="s">
        <v>34</v>
      </c>
      <c r="C94" t="s">
        <v>404</v>
      </c>
      <c r="D94">
        <v>526</v>
      </c>
      <c r="E94" t="s">
        <v>405</v>
      </c>
      <c r="F94">
        <v>0</v>
      </c>
      <c r="G94">
        <v>0</v>
      </c>
      <c r="H94">
        <v>0</v>
      </c>
      <c r="I94">
        <v>0</v>
      </c>
      <c r="J94" t="s">
        <v>406</v>
      </c>
      <c r="K94">
        <v>4130</v>
      </c>
      <c r="L94">
        <v>3835</v>
      </c>
      <c r="M94">
        <v>-7.14</v>
      </c>
      <c r="N94">
        <v>0.52</v>
      </c>
      <c r="O94">
        <v>-5.62</v>
      </c>
      <c r="P94">
        <v>-0.12</v>
      </c>
      <c r="Q94">
        <v>-2.4500000000000002</v>
      </c>
      <c r="R94">
        <v>0.57999999999999996</v>
      </c>
      <c r="S94">
        <v>4.08</v>
      </c>
      <c r="T94">
        <v>2.99</v>
      </c>
      <c r="U94">
        <v>1.36</v>
      </c>
      <c r="V94">
        <v>2.2000000000000002</v>
      </c>
      <c r="W94">
        <v>2.44</v>
      </c>
      <c r="X94">
        <v>2.11</v>
      </c>
      <c r="Y94">
        <v>1.43</v>
      </c>
      <c r="Z94">
        <v>0.17</v>
      </c>
      <c r="AA94">
        <v>4.13</v>
      </c>
      <c r="AB94">
        <v>0.05</v>
      </c>
      <c r="AC94">
        <v>1</v>
      </c>
      <c r="AD94">
        <v>0.27</v>
      </c>
      <c r="AE94">
        <v>2.85</v>
      </c>
      <c r="AF94">
        <v>1.411666666666666</v>
      </c>
      <c r="AG94" t="str">
        <f>HYPERLINK("https://finance.naver.com/item/fchart.naver?code=002785", "진흥기업우B 차트보기")</f>
        <v>진흥기업우B 차트보기</v>
      </c>
    </row>
    <row r="95" spans="1:33" x14ac:dyDescent="0.3">
      <c r="A95" t="s">
        <v>407</v>
      </c>
      <c r="B95" t="s">
        <v>34</v>
      </c>
      <c r="C95" t="s">
        <v>408</v>
      </c>
      <c r="D95">
        <v>12857.43</v>
      </c>
      <c r="E95" t="s">
        <v>409</v>
      </c>
      <c r="F95">
        <v>18.739999999999998</v>
      </c>
      <c r="G95">
        <v>0.27000001072883612</v>
      </c>
      <c r="H95">
        <v>119</v>
      </c>
      <c r="I95">
        <v>5.380000114440918</v>
      </c>
      <c r="J95" t="s">
        <v>410</v>
      </c>
      <c r="K95">
        <v>2250</v>
      </c>
      <c r="L95">
        <v>2230</v>
      </c>
      <c r="M95">
        <v>-0.89</v>
      </c>
      <c r="N95">
        <v>-0.67</v>
      </c>
      <c r="O95">
        <v>-0.22</v>
      </c>
      <c r="P95">
        <v>2.27</v>
      </c>
      <c r="Q95">
        <v>-1.1200000000000001</v>
      </c>
      <c r="R95">
        <v>1.6</v>
      </c>
      <c r="S95">
        <v>-2.02</v>
      </c>
      <c r="T95">
        <v>0.37</v>
      </c>
      <c r="U95">
        <v>0.88</v>
      </c>
      <c r="V95">
        <v>1.75</v>
      </c>
      <c r="W95">
        <v>1.6</v>
      </c>
      <c r="X95">
        <v>0.76</v>
      </c>
      <c r="Y95">
        <v>0.87</v>
      </c>
      <c r="Z95">
        <v>1.81</v>
      </c>
      <c r="AA95">
        <v>0.25</v>
      </c>
      <c r="AB95">
        <v>1.3</v>
      </c>
      <c r="AC95">
        <v>0.7</v>
      </c>
      <c r="AD95">
        <v>2.11</v>
      </c>
      <c r="AE95">
        <v>2.3199999999999998</v>
      </c>
      <c r="AF95">
        <v>1.415</v>
      </c>
      <c r="AG95" t="str">
        <f>HYPERLINK("https://finance.naver.com/item/fchart.naver?code=003460", "유화증권 차트보기")</f>
        <v>유화증권 차트보기</v>
      </c>
    </row>
    <row r="96" spans="1:33" x14ac:dyDescent="0.3">
      <c r="A96" t="s">
        <v>411</v>
      </c>
      <c r="B96" t="s">
        <v>34</v>
      </c>
      <c r="C96" t="s">
        <v>412</v>
      </c>
      <c r="D96">
        <v>8256.9</v>
      </c>
      <c r="E96" t="s">
        <v>413</v>
      </c>
      <c r="F96">
        <v>0</v>
      </c>
      <c r="G96">
        <v>0</v>
      </c>
      <c r="H96">
        <v>0</v>
      </c>
      <c r="I96">
        <v>5.9800000190734863</v>
      </c>
      <c r="J96" t="s">
        <v>414</v>
      </c>
      <c r="K96">
        <v>272500</v>
      </c>
      <c r="L96">
        <v>267500</v>
      </c>
      <c r="M96">
        <v>-1.83</v>
      </c>
      <c r="N96">
        <v>-0.19</v>
      </c>
      <c r="O96">
        <v>-2.79</v>
      </c>
      <c r="P96">
        <v>-1.08</v>
      </c>
      <c r="Q96">
        <v>-2.69</v>
      </c>
      <c r="R96">
        <v>4.22</v>
      </c>
      <c r="S96">
        <v>2.58</v>
      </c>
      <c r="T96">
        <v>1.29</v>
      </c>
      <c r="U96">
        <v>1.27</v>
      </c>
      <c r="V96">
        <v>1.84</v>
      </c>
      <c r="W96">
        <v>2.0099999999999998</v>
      </c>
      <c r="X96">
        <v>1.46</v>
      </c>
      <c r="Y96">
        <v>1.96</v>
      </c>
      <c r="Z96">
        <v>0.15</v>
      </c>
      <c r="AA96">
        <v>2.2000000000000002</v>
      </c>
      <c r="AB96">
        <v>0.59</v>
      </c>
      <c r="AC96">
        <v>1.34</v>
      </c>
      <c r="AD96">
        <v>2.89</v>
      </c>
      <c r="AE96">
        <v>1.32</v>
      </c>
      <c r="AF96">
        <v>1.415</v>
      </c>
      <c r="AG96" t="str">
        <f>HYPERLINK("https://finance.naver.com/item/fchart.naver?code=000815", "삼성화재우 차트보기")</f>
        <v>삼성화재우 차트보기</v>
      </c>
    </row>
    <row r="97" spans="1:33" x14ac:dyDescent="0.3">
      <c r="A97" t="s">
        <v>415</v>
      </c>
      <c r="B97" t="s">
        <v>55</v>
      </c>
      <c r="C97" t="s">
        <v>416</v>
      </c>
      <c r="D97">
        <v>826079.1</v>
      </c>
      <c r="E97" t="s">
        <v>417</v>
      </c>
      <c r="F97">
        <v>0</v>
      </c>
      <c r="G97">
        <v>0.57999998331069946</v>
      </c>
      <c r="H97">
        <v>0</v>
      </c>
      <c r="I97">
        <v>0</v>
      </c>
      <c r="J97" t="s">
        <v>418</v>
      </c>
      <c r="K97">
        <v>998</v>
      </c>
      <c r="L97">
        <v>942</v>
      </c>
      <c r="M97">
        <v>-5.61</v>
      </c>
      <c r="N97">
        <v>-1.46</v>
      </c>
      <c r="O97">
        <v>-3.5</v>
      </c>
      <c r="P97">
        <v>-1.58</v>
      </c>
      <c r="Q97">
        <v>2.66</v>
      </c>
      <c r="R97">
        <v>-1.32</v>
      </c>
      <c r="S97">
        <v>-0.61</v>
      </c>
      <c r="T97">
        <v>1.04</v>
      </c>
      <c r="U97">
        <v>0.94</v>
      </c>
      <c r="V97">
        <v>2.15</v>
      </c>
      <c r="W97">
        <v>2.91</v>
      </c>
      <c r="X97">
        <v>0.85</v>
      </c>
      <c r="Y97">
        <v>2.98</v>
      </c>
      <c r="Z97">
        <v>1.4</v>
      </c>
      <c r="AA97">
        <v>3.72</v>
      </c>
      <c r="AB97">
        <v>0.73</v>
      </c>
      <c r="AC97">
        <v>0.91</v>
      </c>
      <c r="AD97">
        <v>1.55</v>
      </c>
      <c r="AE97">
        <v>0.2</v>
      </c>
      <c r="AF97">
        <v>1.418333333333333</v>
      </c>
      <c r="AG97" t="str">
        <f>HYPERLINK("https://finance.naver.com/item/fchart.naver?code=104040", "대성파인텍 차트보기")</f>
        <v>대성파인텍 차트보기</v>
      </c>
    </row>
    <row r="98" spans="1:33" x14ac:dyDescent="0.3">
      <c r="A98" t="s">
        <v>419</v>
      </c>
      <c r="B98" t="s">
        <v>55</v>
      </c>
      <c r="C98" t="s">
        <v>420</v>
      </c>
      <c r="D98">
        <v>6587.52</v>
      </c>
      <c r="E98" t="s">
        <v>421</v>
      </c>
      <c r="F98">
        <v>28.48</v>
      </c>
      <c r="G98">
        <v>0.95999997854232788</v>
      </c>
      <c r="H98">
        <v>135</v>
      </c>
      <c r="I98">
        <v>1.950000047683716</v>
      </c>
      <c r="J98" t="s">
        <v>422</v>
      </c>
      <c r="K98">
        <v>3875</v>
      </c>
      <c r="L98">
        <v>3845</v>
      </c>
      <c r="M98">
        <v>-0.77</v>
      </c>
      <c r="N98">
        <v>-2.29</v>
      </c>
      <c r="O98">
        <v>-0.88</v>
      </c>
      <c r="P98">
        <v>2.7</v>
      </c>
      <c r="Q98">
        <v>-5.1100000000000003</v>
      </c>
      <c r="R98">
        <v>-0.12</v>
      </c>
      <c r="S98">
        <v>1.1000000000000001</v>
      </c>
      <c r="T98">
        <v>0.97</v>
      </c>
      <c r="U98">
        <v>0.77</v>
      </c>
      <c r="V98">
        <v>1.42</v>
      </c>
      <c r="W98">
        <v>2.4300000000000002</v>
      </c>
      <c r="X98">
        <v>0.74</v>
      </c>
      <c r="Y98">
        <v>1.29</v>
      </c>
      <c r="Z98">
        <v>2.36</v>
      </c>
      <c r="AA98">
        <v>1.1399999999999999</v>
      </c>
      <c r="AB98">
        <v>1.9</v>
      </c>
      <c r="AC98">
        <v>2.1</v>
      </c>
      <c r="AD98">
        <v>0.16</v>
      </c>
      <c r="AE98">
        <v>0.85</v>
      </c>
      <c r="AF98">
        <v>1.418333333333333</v>
      </c>
      <c r="AG98" t="str">
        <f>HYPERLINK("https://finance.naver.com/item/fchart.naver?code=014970", "삼륭물산 차트보기")</f>
        <v>삼륭물산 차트보기</v>
      </c>
    </row>
    <row r="99" spans="1:33" x14ac:dyDescent="0.3">
      <c r="A99" t="s">
        <v>423</v>
      </c>
      <c r="B99" t="s">
        <v>55</v>
      </c>
      <c r="C99" t="s">
        <v>424</v>
      </c>
      <c r="D99">
        <v>50717.1</v>
      </c>
      <c r="E99" t="s">
        <v>425</v>
      </c>
      <c r="F99">
        <v>7.59</v>
      </c>
      <c r="G99">
        <v>0.8399999737739563</v>
      </c>
      <c r="H99">
        <v>345</v>
      </c>
      <c r="I99">
        <v>2.6700000762939449</v>
      </c>
      <c r="J99" t="s">
        <v>426</v>
      </c>
      <c r="K99">
        <v>3280</v>
      </c>
      <c r="L99">
        <v>2620</v>
      </c>
      <c r="M99">
        <v>-20.12</v>
      </c>
      <c r="N99">
        <v>-3.32</v>
      </c>
      <c r="O99">
        <v>0.37</v>
      </c>
      <c r="P99">
        <v>-2.52</v>
      </c>
      <c r="Q99">
        <v>0.18</v>
      </c>
      <c r="R99">
        <v>0.54</v>
      </c>
      <c r="S99">
        <v>-4.9400000000000004</v>
      </c>
      <c r="T99">
        <v>1.36</v>
      </c>
      <c r="U99">
        <v>1.42</v>
      </c>
      <c r="V99">
        <v>1.49</v>
      </c>
      <c r="W99">
        <v>3.27</v>
      </c>
      <c r="X99">
        <v>1.0900000000000001</v>
      </c>
      <c r="Y99">
        <v>1.38</v>
      </c>
      <c r="Z99">
        <v>2.44</v>
      </c>
      <c r="AA99">
        <v>0.26</v>
      </c>
      <c r="AB99">
        <v>1.69</v>
      </c>
      <c r="AC99">
        <v>0.06</v>
      </c>
      <c r="AD99">
        <v>0.5</v>
      </c>
      <c r="AE99">
        <v>3.58</v>
      </c>
      <c r="AF99">
        <v>1.4216666666666671</v>
      </c>
      <c r="AG99" t="str">
        <f>HYPERLINK("https://finance.naver.com/item/fchart.naver?code=100700", "세운메디칼 차트보기")</f>
        <v>세운메디칼 차트보기</v>
      </c>
    </row>
    <row r="100" spans="1:33" x14ac:dyDescent="0.3">
      <c r="A100" t="s">
        <v>427</v>
      </c>
      <c r="B100" t="s">
        <v>34</v>
      </c>
      <c r="C100" t="s">
        <v>428</v>
      </c>
      <c r="D100">
        <v>6973.67</v>
      </c>
      <c r="E100" t="s">
        <v>429</v>
      </c>
      <c r="F100">
        <v>0</v>
      </c>
      <c r="G100">
        <v>0</v>
      </c>
      <c r="H100">
        <v>0</v>
      </c>
      <c r="I100">
        <v>1.3500000238418579</v>
      </c>
      <c r="J100" t="s">
        <v>430</v>
      </c>
      <c r="K100">
        <v>29000</v>
      </c>
      <c r="L100">
        <v>20700</v>
      </c>
      <c r="M100">
        <v>-28.62</v>
      </c>
      <c r="N100">
        <v>1.22</v>
      </c>
      <c r="O100">
        <v>3.03</v>
      </c>
      <c r="P100">
        <v>0.49</v>
      </c>
      <c r="Q100">
        <v>-8.99</v>
      </c>
      <c r="R100">
        <v>-8.65</v>
      </c>
      <c r="S100">
        <v>-12.68</v>
      </c>
      <c r="T100">
        <v>2.08</v>
      </c>
      <c r="U100">
        <v>2</v>
      </c>
      <c r="V100">
        <v>2.84</v>
      </c>
      <c r="W100">
        <v>3.46</v>
      </c>
      <c r="X100">
        <v>7.41</v>
      </c>
      <c r="Y100">
        <v>5.09</v>
      </c>
      <c r="Z100">
        <v>0.59</v>
      </c>
      <c r="AA100">
        <v>1.51</v>
      </c>
      <c r="AB100">
        <v>0.17</v>
      </c>
      <c r="AC100">
        <v>2.6</v>
      </c>
      <c r="AD100">
        <v>1.17</v>
      </c>
      <c r="AE100">
        <v>2.4900000000000002</v>
      </c>
      <c r="AF100">
        <v>1.4216666666666671</v>
      </c>
      <c r="AG100" t="str">
        <f>HYPERLINK("https://finance.naver.com/item/fchart.naver?code=084695", "대상홀딩스우 차트보기")</f>
        <v>대상홀딩스우 차트보기</v>
      </c>
    </row>
    <row r="101" spans="1:33" x14ac:dyDescent="0.3">
      <c r="A101" t="s">
        <v>431</v>
      </c>
      <c r="B101" t="s">
        <v>55</v>
      </c>
      <c r="C101" t="s">
        <v>432</v>
      </c>
      <c r="D101">
        <v>1044944.67</v>
      </c>
      <c r="E101" t="s">
        <v>433</v>
      </c>
      <c r="F101">
        <v>0</v>
      </c>
      <c r="G101">
        <v>0.46000000834465032</v>
      </c>
      <c r="H101">
        <v>0</v>
      </c>
      <c r="I101">
        <v>0.6600000262260437</v>
      </c>
      <c r="J101" t="s">
        <v>434</v>
      </c>
      <c r="K101">
        <v>2980</v>
      </c>
      <c r="L101">
        <v>3010</v>
      </c>
      <c r="M101">
        <v>1.01</v>
      </c>
      <c r="N101">
        <v>-3.53</v>
      </c>
      <c r="O101">
        <v>12.12</v>
      </c>
      <c r="P101">
        <v>-0.71</v>
      </c>
      <c r="Q101">
        <v>-0.35</v>
      </c>
      <c r="R101">
        <v>-6.25</v>
      </c>
      <c r="S101">
        <v>0.5</v>
      </c>
      <c r="T101">
        <v>3.77</v>
      </c>
      <c r="U101">
        <v>5.4</v>
      </c>
      <c r="V101">
        <v>1.62</v>
      </c>
      <c r="W101">
        <v>3.98</v>
      </c>
      <c r="X101">
        <v>1.41</v>
      </c>
      <c r="Y101">
        <v>1.17</v>
      </c>
      <c r="Z101">
        <v>0.94</v>
      </c>
      <c r="AA101">
        <v>2.2400000000000002</v>
      </c>
      <c r="AB101">
        <v>0.44</v>
      </c>
      <c r="AC101">
        <v>0.09</v>
      </c>
      <c r="AD101">
        <v>4.43</v>
      </c>
      <c r="AE101">
        <v>0.43</v>
      </c>
      <c r="AF101">
        <v>1.428333333333333</v>
      </c>
      <c r="AG101" t="str">
        <f>HYPERLINK("https://finance.naver.com/item/fchart.naver?code=081150", "티플랙스 차트보기")</f>
        <v>티플랙스 차트보기</v>
      </c>
    </row>
    <row r="102" spans="1:33" x14ac:dyDescent="0.3">
      <c r="A102" t="s">
        <v>435</v>
      </c>
      <c r="B102" t="s">
        <v>55</v>
      </c>
      <c r="C102" t="s">
        <v>436</v>
      </c>
      <c r="D102">
        <v>13445.33</v>
      </c>
      <c r="E102" t="s">
        <v>437</v>
      </c>
      <c r="F102">
        <v>0</v>
      </c>
      <c r="G102">
        <v>0</v>
      </c>
      <c r="H102">
        <v>0</v>
      </c>
      <c r="I102">
        <v>0</v>
      </c>
      <c r="J102" t="s">
        <v>438</v>
      </c>
      <c r="K102">
        <v>2190</v>
      </c>
      <c r="L102">
        <v>2150</v>
      </c>
      <c r="M102">
        <v>-1.83</v>
      </c>
      <c r="N102">
        <v>-1.1499999999999999</v>
      </c>
      <c r="O102">
        <v>-3.14</v>
      </c>
      <c r="P102">
        <v>0.23</v>
      </c>
      <c r="Q102">
        <v>0.92</v>
      </c>
      <c r="R102">
        <v>0.69</v>
      </c>
      <c r="S102">
        <v>0</v>
      </c>
      <c r="T102">
        <v>0.59</v>
      </c>
      <c r="U102">
        <v>1.23</v>
      </c>
      <c r="V102">
        <v>1.25</v>
      </c>
      <c r="W102">
        <v>0.45</v>
      </c>
      <c r="X102">
        <v>0.37</v>
      </c>
      <c r="Y102">
        <v>0.8</v>
      </c>
      <c r="Z102">
        <v>1.95</v>
      </c>
      <c r="AA102">
        <v>2.5499999999999998</v>
      </c>
      <c r="AB102">
        <v>0.18</v>
      </c>
      <c r="AC102">
        <v>2.04</v>
      </c>
      <c r="AD102">
        <v>1.86</v>
      </c>
      <c r="AE102">
        <v>0</v>
      </c>
      <c r="AF102">
        <v>1.43</v>
      </c>
      <c r="AG102" t="str">
        <f>HYPERLINK("https://finance.naver.com/item/fchart.naver?code=457630", "대신밸런스제16호스팩 차트보기")</f>
        <v>대신밸런스제16호스팩 차트보기</v>
      </c>
    </row>
    <row r="103" spans="1:33" x14ac:dyDescent="0.3">
      <c r="A103" t="s">
        <v>439</v>
      </c>
      <c r="B103" t="s">
        <v>34</v>
      </c>
      <c r="C103" t="s">
        <v>440</v>
      </c>
      <c r="D103">
        <v>972198.14</v>
      </c>
      <c r="E103" t="s">
        <v>441</v>
      </c>
      <c r="F103">
        <v>0</v>
      </c>
      <c r="G103">
        <v>0.2800000011920929</v>
      </c>
      <c r="H103">
        <v>0</v>
      </c>
      <c r="I103">
        <v>0</v>
      </c>
      <c r="J103" t="s">
        <v>442</v>
      </c>
      <c r="K103">
        <v>412</v>
      </c>
      <c r="L103">
        <v>342</v>
      </c>
      <c r="M103">
        <v>-16.989999999999998</v>
      </c>
      <c r="N103">
        <v>-6.56</v>
      </c>
      <c r="O103">
        <v>0.56000000000000005</v>
      </c>
      <c r="P103">
        <v>0.82</v>
      </c>
      <c r="Q103">
        <v>-5.43</v>
      </c>
      <c r="R103">
        <v>-2.52</v>
      </c>
      <c r="S103">
        <v>-3.72</v>
      </c>
      <c r="T103">
        <v>2.4500000000000002</v>
      </c>
      <c r="U103">
        <v>1.73</v>
      </c>
      <c r="V103">
        <v>1.79</v>
      </c>
      <c r="W103">
        <v>6.21</v>
      </c>
      <c r="X103">
        <v>0.95</v>
      </c>
      <c r="Y103">
        <v>2.2599999999999998</v>
      </c>
      <c r="Z103">
        <v>2.68</v>
      </c>
      <c r="AA103">
        <v>0.32</v>
      </c>
      <c r="AB103">
        <v>0.46</v>
      </c>
      <c r="AC103">
        <v>0.87</v>
      </c>
      <c r="AD103">
        <v>2.65</v>
      </c>
      <c r="AE103">
        <v>1.65</v>
      </c>
      <c r="AF103">
        <v>1.438333333333333</v>
      </c>
      <c r="AG103" t="str">
        <f>HYPERLINK("https://finance.naver.com/item/fchart.naver?code=004060", "SG세계물산 차트보기")</f>
        <v>SG세계물산 차트보기</v>
      </c>
    </row>
    <row r="104" spans="1:33" x14ac:dyDescent="0.3">
      <c r="A104" t="s">
        <v>443</v>
      </c>
      <c r="B104" t="s">
        <v>55</v>
      </c>
      <c r="C104" t="s">
        <v>444</v>
      </c>
      <c r="D104">
        <v>1101597.24</v>
      </c>
      <c r="E104" t="s">
        <v>445</v>
      </c>
      <c r="F104">
        <v>7.95</v>
      </c>
      <c r="G104">
        <v>0.70999997854232788</v>
      </c>
      <c r="H104">
        <v>640</v>
      </c>
      <c r="I104">
        <v>1.379999995231628</v>
      </c>
      <c r="J104" t="s">
        <v>446</v>
      </c>
      <c r="K104">
        <v>5150</v>
      </c>
      <c r="L104">
        <v>5090</v>
      </c>
      <c r="M104">
        <v>-1.17</v>
      </c>
      <c r="N104">
        <v>9.34</v>
      </c>
      <c r="O104">
        <v>4.2699999999999996</v>
      </c>
      <c r="P104">
        <v>-2.95</v>
      </c>
      <c r="Q104">
        <v>-0.73</v>
      </c>
      <c r="R104">
        <v>-0.32</v>
      </c>
      <c r="S104">
        <v>-4.6500000000000004</v>
      </c>
      <c r="T104">
        <v>5.14</v>
      </c>
      <c r="U104">
        <v>4.74</v>
      </c>
      <c r="V104">
        <v>2.52</v>
      </c>
      <c r="W104">
        <v>4.3600000000000003</v>
      </c>
      <c r="X104">
        <v>2.61</v>
      </c>
      <c r="Y104">
        <v>1.04</v>
      </c>
      <c r="Z104">
        <v>1.82</v>
      </c>
      <c r="AA104">
        <v>0.9</v>
      </c>
      <c r="AB104">
        <v>1.17</v>
      </c>
      <c r="AC104">
        <v>0.17</v>
      </c>
      <c r="AD104">
        <v>0.12</v>
      </c>
      <c r="AE104">
        <v>4.47</v>
      </c>
      <c r="AF104">
        <v>1.4416666666666671</v>
      </c>
      <c r="AG104" t="str">
        <f>HYPERLINK("https://finance.naver.com/item/fchart.naver?code=051490", "나라엠앤디 차트보기")</f>
        <v>나라엠앤디 차트보기</v>
      </c>
    </row>
    <row r="105" spans="1:33" x14ac:dyDescent="0.3">
      <c r="A105" t="s">
        <v>447</v>
      </c>
      <c r="B105" t="s">
        <v>34</v>
      </c>
      <c r="C105" t="s">
        <v>448</v>
      </c>
      <c r="D105">
        <v>24101.19</v>
      </c>
      <c r="E105" t="s">
        <v>449</v>
      </c>
      <c r="F105">
        <v>4.72</v>
      </c>
      <c r="G105">
        <v>0.47999998927116388</v>
      </c>
      <c r="H105">
        <v>675</v>
      </c>
      <c r="I105">
        <v>6.2800002098083496</v>
      </c>
      <c r="J105" t="s">
        <v>450</v>
      </c>
      <c r="K105">
        <v>3330</v>
      </c>
      <c r="L105">
        <v>3185</v>
      </c>
      <c r="M105">
        <v>-4.3499999999999996</v>
      </c>
      <c r="N105">
        <v>0</v>
      </c>
      <c r="O105">
        <v>0.32</v>
      </c>
      <c r="P105">
        <v>0</v>
      </c>
      <c r="Q105">
        <v>0.32</v>
      </c>
      <c r="R105">
        <v>-3.36</v>
      </c>
      <c r="S105">
        <v>-0.15</v>
      </c>
      <c r="T105">
        <v>0.14000000000000001</v>
      </c>
      <c r="U105">
        <v>0.25</v>
      </c>
      <c r="V105">
        <v>0.37</v>
      </c>
      <c r="W105">
        <v>1.1000000000000001</v>
      </c>
      <c r="X105">
        <v>0.5</v>
      </c>
      <c r="Y105">
        <v>0.37</v>
      </c>
      <c r="Z105">
        <v>0</v>
      </c>
      <c r="AA105">
        <v>1.28</v>
      </c>
      <c r="AB105">
        <v>0</v>
      </c>
      <c r="AC105">
        <v>0.28999999999999998</v>
      </c>
      <c r="AD105">
        <v>6.72</v>
      </c>
      <c r="AE105">
        <v>0.41</v>
      </c>
      <c r="AF105">
        <v>1.45</v>
      </c>
      <c r="AG105" t="str">
        <f>HYPERLINK("https://finance.naver.com/item/fchart.naver?code=100250", "진양홀딩스 차트보기")</f>
        <v>진양홀딩스 차트보기</v>
      </c>
    </row>
    <row r="106" spans="1:33" x14ac:dyDescent="0.3">
      <c r="A106" t="s">
        <v>451</v>
      </c>
      <c r="B106" t="s">
        <v>55</v>
      </c>
      <c r="C106" t="s">
        <v>452</v>
      </c>
      <c r="D106">
        <v>33847.379999999997</v>
      </c>
      <c r="E106" t="s">
        <v>453</v>
      </c>
      <c r="F106">
        <v>8.17</v>
      </c>
      <c r="G106">
        <v>1.279999971389771</v>
      </c>
      <c r="H106">
        <v>1455</v>
      </c>
      <c r="I106">
        <v>0</v>
      </c>
      <c r="J106" t="s">
        <v>454</v>
      </c>
      <c r="K106">
        <v>14530</v>
      </c>
      <c r="L106">
        <v>11890</v>
      </c>
      <c r="M106">
        <v>-18.170000000000002</v>
      </c>
      <c r="N106">
        <v>0.25</v>
      </c>
      <c r="O106">
        <v>-6.34</v>
      </c>
      <c r="P106">
        <v>0.6</v>
      </c>
      <c r="Q106">
        <v>1.8</v>
      </c>
      <c r="R106">
        <v>-6.55</v>
      </c>
      <c r="S106">
        <v>-0.73</v>
      </c>
      <c r="T106">
        <v>2.5099999999999998</v>
      </c>
      <c r="U106">
        <v>1.47</v>
      </c>
      <c r="V106">
        <v>1.83</v>
      </c>
      <c r="W106">
        <v>5.33</v>
      </c>
      <c r="X106">
        <v>2.11</v>
      </c>
      <c r="Y106">
        <v>1.41</v>
      </c>
      <c r="Z106">
        <v>0.1</v>
      </c>
      <c r="AA106">
        <v>4.3099999999999996</v>
      </c>
      <c r="AB106">
        <v>0.33</v>
      </c>
      <c r="AC106">
        <v>0.34</v>
      </c>
      <c r="AD106">
        <v>3.1</v>
      </c>
      <c r="AE106">
        <v>0.52</v>
      </c>
      <c r="AF106">
        <v>1.45</v>
      </c>
      <c r="AG106" t="str">
        <f>HYPERLINK("https://finance.naver.com/item/fchart.naver?code=190510", "나무가 차트보기")</f>
        <v>나무가 차트보기</v>
      </c>
    </row>
    <row r="107" spans="1:33" x14ac:dyDescent="0.3">
      <c r="A107" t="s">
        <v>455</v>
      </c>
      <c r="B107" t="s">
        <v>55</v>
      </c>
      <c r="C107" t="s">
        <v>456</v>
      </c>
      <c r="D107">
        <v>17111.240000000002</v>
      </c>
      <c r="E107" t="s">
        <v>457</v>
      </c>
      <c r="F107">
        <v>0</v>
      </c>
      <c r="G107">
        <v>0</v>
      </c>
      <c r="H107">
        <v>0</v>
      </c>
      <c r="I107">
        <v>0</v>
      </c>
      <c r="J107" t="s">
        <v>458</v>
      </c>
      <c r="K107">
        <v>2020</v>
      </c>
      <c r="L107">
        <v>2005</v>
      </c>
      <c r="M107">
        <v>-0.74</v>
      </c>
      <c r="N107">
        <v>0</v>
      </c>
      <c r="O107">
        <v>-0.5</v>
      </c>
      <c r="P107">
        <v>-0.99</v>
      </c>
      <c r="Q107">
        <v>-0.25</v>
      </c>
      <c r="R107">
        <v>0.5</v>
      </c>
      <c r="S107">
        <v>0.25</v>
      </c>
      <c r="T107">
        <v>0.27</v>
      </c>
      <c r="U107">
        <v>0.19</v>
      </c>
      <c r="V107">
        <v>0.39</v>
      </c>
      <c r="W107">
        <v>0.41</v>
      </c>
      <c r="X107">
        <v>0.3</v>
      </c>
      <c r="Y107">
        <v>0.2</v>
      </c>
      <c r="Z107">
        <v>0</v>
      </c>
      <c r="AA107">
        <v>2.63</v>
      </c>
      <c r="AB107">
        <v>2.54</v>
      </c>
      <c r="AC107">
        <v>0.61</v>
      </c>
      <c r="AD107">
        <v>1.67</v>
      </c>
      <c r="AE107">
        <v>1.25</v>
      </c>
      <c r="AF107">
        <v>1.45</v>
      </c>
      <c r="AG107" t="str">
        <f>HYPERLINK("https://finance.naver.com/item/fchart.naver?code=451700", "엔에이치스팩29호 차트보기")</f>
        <v>엔에이치스팩29호 차트보기</v>
      </c>
    </row>
    <row r="108" spans="1:33" x14ac:dyDescent="0.3">
      <c r="A108" t="s">
        <v>459</v>
      </c>
      <c r="B108" t="s">
        <v>34</v>
      </c>
      <c r="C108" t="s">
        <v>460</v>
      </c>
      <c r="D108">
        <v>104930.1</v>
      </c>
      <c r="E108" t="s">
        <v>461</v>
      </c>
      <c r="F108">
        <v>8.15</v>
      </c>
      <c r="G108">
        <v>0.92000001668930054</v>
      </c>
      <c r="H108">
        <v>42777</v>
      </c>
      <c r="I108">
        <v>4.5900001525878906</v>
      </c>
      <c r="J108" t="s">
        <v>462</v>
      </c>
      <c r="K108">
        <v>370000</v>
      </c>
      <c r="L108">
        <v>348500</v>
      </c>
      <c r="M108">
        <v>-5.81</v>
      </c>
      <c r="N108">
        <v>1.31</v>
      </c>
      <c r="O108">
        <v>0.9</v>
      </c>
      <c r="P108">
        <v>-4.3099999999999996</v>
      </c>
      <c r="Q108">
        <v>-7.48</v>
      </c>
      <c r="R108">
        <v>0.13</v>
      </c>
      <c r="S108">
        <v>8.9600000000000009</v>
      </c>
      <c r="T108">
        <v>1.55</v>
      </c>
      <c r="U108">
        <v>2.4</v>
      </c>
      <c r="V108">
        <v>2.67</v>
      </c>
      <c r="W108">
        <v>3.36</v>
      </c>
      <c r="X108">
        <v>2.15</v>
      </c>
      <c r="Y108">
        <v>2.5099999999999998</v>
      </c>
      <c r="Z108">
        <v>0.85</v>
      </c>
      <c r="AA108">
        <v>0.38</v>
      </c>
      <c r="AB108">
        <v>1.61</v>
      </c>
      <c r="AC108">
        <v>2.23</v>
      </c>
      <c r="AD108">
        <v>0.06</v>
      </c>
      <c r="AE108">
        <v>3.57</v>
      </c>
      <c r="AF108">
        <v>1.45</v>
      </c>
      <c r="AG108" t="str">
        <f>HYPERLINK("https://finance.naver.com/item/fchart.naver?code=000810", "삼성화재 차트보기")</f>
        <v>삼성화재 차트보기</v>
      </c>
    </row>
    <row r="109" spans="1:33" x14ac:dyDescent="0.3">
      <c r="A109" t="s">
        <v>463</v>
      </c>
      <c r="B109" t="s">
        <v>55</v>
      </c>
      <c r="C109" t="s">
        <v>464</v>
      </c>
      <c r="D109">
        <v>135477.14000000001</v>
      </c>
      <c r="E109" t="s">
        <v>465</v>
      </c>
      <c r="F109">
        <v>0</v>
      </c>
      <c r="G109">
        <v>14.39000034332275</v>
      </c>
      <c r="H109">
        <v>0</v>
      </c>
      <c r="I109">
        <v>0</v>
      </c>
      <c r="J109" t="s">
        <v>466</v>
      </c>
      <c r="K109">
        <v>3175</v>
      </c>
      <c r="L109">
        <v>3180</v>
      </c>
      <c r="M109">
        <v>0.16</v>
      </c>
      <c r="N109">
        <v>2.75</v>
      </c>
      <c r="O109">
        <v>-1.26</v>
      </c>
      <c r="P109">
        <v>-3.92</v>
      </c>
      <c r="Q109">
        <v>12.96</v>
      </c>
      <c r="R109">
        <v>-1.95</v>
      </c>
      <c r="S109">
        <v>-4.0999999999999996</v>
      </c>
      <c r="T109">
        <v>1.74</v>
      </c>
      <c r="U109">
        <v>2.1800000000000002</v>
      </c>
      <c r="V109">
        <v>2.23</v>
      </c>
      <c r="W109">
        <v>7.98</v>
      </c>
      <c r="X109">
        <v>1.07</v>
      </c>
      <c r="Y109">
        <v>3.07</v>
      </c>
      <c r="Z109">
        <v>1.58</v>
      </c>
      <c r="AA109">
        <v>0.57999999999999996</v>
      </c>
      <c r="AB109">
        <v>1.76</v>
      </c>
      <c r="AC109">
        <v>1.62</v>
      </c>
      <c r="AD109">
        <v>1.82</v>
      </c>
      <c r="AE109">
        <v>1.34</v>
      </c>
      <c r="AF109">
        <v>1.45</v>
      </c>
      <c r="AG109" t="str">
        <f>HYPERLINK("https://finance.naver.com/item/fchart.naver?code=307180", "아이엘사이언스 차트보기")</f>
        <v>아이엘사이언스 차트보기</v>
      </c>
    </row>
    <row r="110" spans="1:33" x14ac:dyDescent="0.3">
      <c r="A110" t="s">
        <v>467</v>
      </c>
      <c r="B110" t="s">
        <v>55</v>
      </c>
      <c r="C110" t="s">
        <v>468</v>
      </c>
      <c r="D110">
        <v>157507.43</v>
      </c>
      <c r="E110" t="s">
        <v>469</v>
      </c>
      <c r="F110">
        <v>0</v>
      </c>
      <c r="G110">
        <v>1.1599999666213989</v>
      </c>
      <c r="H110">
        <v>0</v>
      </c>
      <c r="I110">
        <v>0</v>
      </c>
      <c r="J110" t="s">
        <v>470</v>
      </c>
      <c r="K110">
        <v>2850</v>
      </c>
      <c r="L110">
        <v>2080</v>
      </c>
      <c r="M110">
        <v>-27.02</v>
      </c>
      <c r="N110">
        <v>-0.72</v>
      </c>
      <c r="O110">
        <v>1.2</v>
      </c>
      <c r="P110">
        <v>-5.15</v>
      </c>
      <c r="Q110">
        <v>-5.47</v>
      </c>
      <c r="R110">
        <v>-12.24</v>
      </c>
      <c r="S110">
        <v>-1.26</v>
      </c>
      <c r="T110">
        <v>1.9</v>
      </c>
      <c r="U110">
        <v>4.03</v>
      </c>
      <c r="V110">
        <v>1.4</v>
      </c>
      <c r="W110">
        <v>3.26</v>
      </c>
      <c r="X110">
        <v>5.03</v>
      </c>
      <c r="Y110">
        <v>4.87</v>
      </c>
      <c r="Z110">
        <v>0.38</v>
      </c>
      <c r="AA110">
        <v>0.3</v>
      </c>
      <c r="AB110">
        <v>3.68</v>
      </c>
      <c r="AC110">
        <v>1.68</v>
      </c>
      <c r="AD110">
        <v>2.4300000000000002</v>
      </c>
      <c r="AE110">
        <v>0.26</v>
      </c>
      <c r="AF110">
        <v>1.4550000000000001</v>
      </c>
      <c r="AG110" t="str">
        <f>HYPERLINK("https://finance.naver.com/item/fchart.naver?code=095190", "이엠코리아 차트보기")</f>
        <v>이엠코리아 차트보기</v>
      </c>
    </row>
    <row r="111" spans="1:33" x14ac:dyDescent="0.3">
      <c r="A111" t="s">
        <v>471</v>
      </c>
      <c r="B111" t="s">
        <v>55</v>
      </c>
      <c r="C111" t="s">
        <v>472</v>
      </c>
      <c r="D111">
        <v>18610.669999999998</v>
      </c>
      <c r="E111" t="s">
        <v>473</v>
      </c>
      <c r="F111">
        <v>4.24</v>
      </c>
      <c r="G111">
        <v>0.38999998569488531</v>
      </c>
      <c r="H111">
        <v>2061</v>
      </c>
      <c r="I111">
        <v>5.1500000953674316</v>
      </c>
      <c r="J111" t="s">
        <v>474</v>
      </c>
      <c r="K111">
        <v>9360</v>
      </c>
      <c r="L111">
        <v>8740</v>
      </c>
      <c r="M111">
        <v>-6.62</v>
      </c>
      <c r="N111">
        <v>0.46</v>
      </c>
      <c r="O111">
        <v>1.86</v>
      </c>
      <c r="P111">
        <v>-2.7</v>
      </c>
      <c r="Q111">
        <v>1.1399999999999999</v>
      </c>
      <c r="R111">
        <v>-1.58</v>
      </c>
      <c r="S111">
        <v>-1.01</v>
      </c>
      <c r="T111">
        <v>0.95</v>
      </c>
      <c r="U111">
        <v>0.61</v>
      </c>
      <c r="V111">
        <v>1.35</v>
      </c>
      <c r="W111">
        <v>1.55</v>
      </c>
      <c r="X111">
        <v>1.9</v>
      </c>
      <c r="Y111">
        <v>0.62</v>
      </c>
      <c r="Z111">
        <v>0.48</v>
      </c>
      <c r="AA111">
        <v>3.05</v>
      </c>
      <c r="AB111">
        <v>2</v>
      </c>
      <c r="AC111">
        <v>0.74</v>
      </c>
      <c r="AD111">
        <v>0.83</v>
      </c>
      <c r="AE111">
        <v>1.63</v>
      </c>
      <c r="AF111">
        <v>1.4550000000000001</v>
      </c>
      <c r="AG111" t="str">
        <f>HYPERLINK("https://finance.naver.com/item/fchart.naver?code=037460", "삼지전자 차트보기")</f>
        <v>삼지전자 차트보기</v>
      </c>
    </row>
    <row r="112" spans="1:33" x14ac:dyDescent="0.3">
      <c r="A112" t="s">
        <v>475</v>
      </c>
      <c r="B112" t="s">
        <v>55</v>
      </c>
      <c r="C112" t="s">
        <v>476</v>
      </c>
      <c r="D112">
        <v>343295.86</v>
      </c>
      <c r="E112" t="s">
        <v>477</v>
      </c>
      <c r="F112">
        <v>100</v>
      </c>
      <c r="G112">
        <v>8.7799997329711914</v>
      </c>
      <c r="H112">
        <v>441</v>
      </c>
      <c r="I112">
        <v>0</v>
      </c>
      <c r="J112" t="s">
        <v>478</v>
      </c>
      <c r="K112">
        <v>33000</v>
      </c>
      <c r="L112">
        <v>44100</v>
      </c>
      <c r="M112">
        <v>33.64</v>
      </c>
      <c r="N112">
        <v>6.91</v>
      </c>
      <c r="O112">
        <v>3.38</v>
      </c>
      <c r="P112">
        <v>14.1</v>
      </c>
      <c r="Q112">
        <v>8.51</v>
      </c>
      <c r="R112">
        <v>12.23</v>
      </c>
      <c r="S112">
        <v>-1.66</v>
      </c>
      <c r="T112">
        <v>3.64</v>
      </c>
      <c r="U112">
        <v>4.88</v>
      </c>
      <c r="V112">
        <v>5.61</v>
      </c>
      <c r="W112">
        <v>6.15</v>
      </c>
      <c r="X112">
        <v>6.48</v>
      </c>
      <c r="Y112">
        <v>4.3600000000000003</v>
      </c>
      <c r="Z112">
        <v>1.9</v>
      </c>
      <c r="AA112">
        <v>0.69</v>
      </c>
      <c r="AB112">
        <v>2.5099999999999998</v>
      </c>
      <c r="AC112">
        <v>1.38</v>
      </c>
      <c r="AD112">
        <v>1.89</v>
      </c>
      <c r="AE112">
        <v>0.38</v>
      </c>
      <c r="AF112">
        <v>1.458333333333333</v>
      </c>
      <c r="AG112" t="str">
        <f>HYPERLINK("https://finance.naver.com/item/fchart.naver?code=347850", "디앤디파마텍 차트보기")</f>
        <v>디앤디파마텍 차트보기</v>
      </c>
    </row>
    <row r="113" spans="1:33" x14ac:dyDescent="0.3">
      <c r="A113" t="s">
        <v>479</v>
      </c>
      <c r="B113" t="s">
        <v>34</v>
      </c>
      <c r="C113" t="s">
        <v>480</v>
      </c>
      <c r="D113">
        <v>258776.29</v>
      </c>
      <c r="E113" t="s">
        <v>481</v>
      </c>
      <c r="F113">
        <v>0</v>
      </c>
      <c r="G113">
        <v>0.4699999988079071</v>
      </c>
      <c r="H113">
        <v>0</v>
      </c>
      <c r="I113">
        <v>0</v>
      </c>
      <c r="J113" t="s">
        <v>482</v>
      </c>
      <c r="K113">
        <v>2125</v>
      </c>
      <c r="L113">
        <v>1500</v>
      </c>
      <c r="M113">
        <v>-29.41</v>
      </c>
      <c r="N113">
        <v>-2.34</v>
      </c>
      <c r="O113">
        <v>-3.92</v>
      </c>
      <c r="P113">
        <v>2.44</v>
      </c>
      <c r="Q113">
        <v>-7.36</v>
      </c>
      <c r="R113">
        <v>-6.49</v>
      </c>
      <c r="S113">
        <v>-0.99</v>
      </c>
      <c r="T113">
        <v>2.75</v>
      </c>
      <c r="U113">
        <v>7.62</v>
      </c>
      <c r="V113">
        <v>8.02</v>
      </c>
      <c r="W113">
        <v>3.59</v>
      </c>
      <c r="X113">
        <v>1.59</v>
      </c>
      <c r="Y113">
        <v>1.02</v>
      </c>
      <c r="Z113">
        <v>0.85</v>
      </c>
      <c r="AA113">
        <v>0.51</v>
      </c>
      <c r="AB113">
        <v>0.3</v>
      </c>
      <c r="AC113">
        <v>2.0499999999999998</v>
      </c>
      <c r="AD113">
        <v>4.08</v>
      </c>
      <c r="AE113">
        <v>0.97</v>
      </c>
      <c r="AF113">
        <v>1.46</v>
      </c>
      <c r="AG113" t="str">
        <f>HYPERLINK("https://finance.naver.com/item/fchart.naver?code=069640", "한세엠케이 차트보기")</f>
        <v>한세엠케이 차트보기</v>
      </c>
    </row>
    <row r="114" spans="1:33" x14ac:dyDescent="0.3">
      <c r="A114" t="s">
        <v>483</v>
      </c>
      <c r="B114" t="s">
        <v>55</v>
      </c>
      <c r="C114" t="s">
        <v>484</v>
      </c>
      <c r="D114">
        <v>34565.480000000003</v>
      </c>
      <c r="E114" t="s">
        <v>485</v>
      </c>
      <c r="F114">
        <v>0</v>
      </c>
      <c r="G114">
        <v>0.5</v>
      </c>
      <c r="H114">
        <v>0</v>
      </c>
      <c r="I114">
        <v>0.81999999284744263</v>
      </c>
      <c r="J114" t="s">
        <v>486</v>
      </c>
      <c r="K114">
        <v>3880</v>
      </c>
      <c r="L114">
        <v>3665</v>
      </c>
      <c r="M114">
        <v>-5.54</v>
      </c>
      <c r="N114">
        <v>1.81</v>
      </c>
      <c r="O114">
        <v>0.82</v>
      </c>
      <c r="P114">
        <v>-7.63</v>
      </c>
      <c r="Q114">
        <v>-8.31</v>
      </c>
      <c r="R114">
        <v>0.92</v>
      </c>
      <c r="S114">
        <v>-4.55</v>
      </c>
      <c r="T114">
        <v>1.84</v>
      </c>
      <c r="U114">
        <v>1.86</v>
      </c>
      <c r="V114">
        <v>1.64</v>
      </c>
      <c r="W114">
        <v>4.6399999999999997</v>
      </c>
      <c r="X114">
        <v>2.4900000000000002</v>
      </c>
      <c r="Y114">
        <v>8.35</v>
      </c>
      <c r="Z114">
        <v>0.98</v>
      </c>
      <c r="AA114">
        <v>0.44</v>
      </c>
      <c r="AB114">
        <v>4.6500000000000004</v>
      </c>
      <c r="AC114">
        <v>1.79</v>
      </c>
      <c r="AD114">
        <v>0.37</v>
      </c>
      <c r="AE114">
        <v>0.54</v>
      </c>
      <c r="AF114">
        <v>1.4616666666666669</v>
      </c>
      <c r="AG114" t="str">
        <f>HYPERLINK("https://finance.naver.com/item/fchart.naver?code=048470", "대동스틸 차트보기")</f>
        <v>대동스틸 차트보기</v>
      </c>
    </row>
    <row r="115" spans="1:33" x14ac:dyDescent="0.3">
      <c r="A115" t="s">
        <v>487</v>
      </c>
      <c r="B115" t="s">
        <v>55</v>
      </c>
      <c r="C115" t="s">
        <v>488</v>
      </c>
      <c r="D115">
        <v>97617.71</v>
      </c>
      <c r="E115" t="s">
        <v>489</v>
      </c>
      <c r="F115">
        <v>93.53</v>
      </c>
      <c r="G115">
        <v>2.0399999618530269</v>
      </c>
      <c r="H115">
        <v>572</v>
      </c>
      <c r="I115">
        <v>0.18999999761581421</v>
      </c>
      <c r="J115" t="s">
        <v>490</v>
      </c>
      <c r="K115">
        <v>63700</v>
      </c>
      <c r="L115">
        <v>53500</v>
      </c>
      <c r="M115">
        <v>-16.010000000000002</v>
      </c>
      <c r="N115">
        <v>11.11</v>
      </c>
      <c r="O115">
        <v>-4.79</v>
      </c>
      <c r="P115">
        <v>3</v>
      </c>
      <c r="Q115">
        <v>0</v>
      </c>
      <c r="R115">
        <v>-6.74</v>
      </c>
      <c r="S115">
        <v>-1.01</v>
      </c>
      <c r="T115">
        <v>3.95</v>
      </c>
      <c r="U115">
        <v>3.57</v>
      </c>
      <c r="V115">
        <v>3.3</v>
      </c>
      <c r="W115">
        <v>4.46</v>
      </c>
      <c r="X115">
        <v>2.0299999999999998</v>
      </c>
      <c r="Y115">
        <v>2.2400000000000002</v>
      </c>
      <c r="Z115">
        <v>2.81</v>
      </c>
      <c r="AA115">
        <v>1.34</v>
      </c>
      <c r="AB115">
        <v>0.91</v>
      </c>
      <c r="AC115">
        <v>0</v>
      </c>
      <c r="AD115">
        <v>3.32</v>
      </c>
      <c r="AE115">
        <v>0.45</v>
      </c>
      <c r="AF115">
        <v>1.4716666666666669</v>
      </c>
      <c r="AG115" t="str">
        <f>HYPERLINK("https://finance.naver.com/item/fchart.naver?code=189300", "인텔리안테크 차트보기")</f>
        <v>인텔리안테크 차트보기</v>
      </c>
    </row>
    <row r="116" spans="1:33" x14ac:dyDescent="0.3">
      <c r="A116" t="s">
        <v>491</v>
      </c>
      <c r="B116" t="s">
        <v>34</v>
      </c>
      <c r="C116" t="s">
        <v>492</v>
      </c>
      <c r="D116">
        <v>1839.9</v>
      </c>
      <c r="E116" t="s">
        <v>493</v>
      </c>
      <c r="F116">
        <v>0</v>
      </c>
      <c r="G116">
        <v>0</v>
      </c>
      <c r="H116">
        <v>0</v>
      </c>
      <c r="I116">
        <v>0</v>
      </c>
      <c r="J116" t="s">
        <v>494</v>
      </c>
      <c r="K116">
        <v>5330</v>
      </c>
      <c r="L116">
        <v>4995</v>
      </c>
      <c r="M116">
        <v>-6.29</v>
      </c>
      <c r="N116">
        <v>-1.0900000000000001</v>
      </c>
      <c r="O116">
        <v>-0.39</v>
      </c>
      <c r="P116">
        <v>-0.59</v>
      </c>
      <c r="Q116">
        <v>2.9</v>
      </c>
      <c r="R116">
        <v>2.76</v>
      </c>
      <c r="S116">
        <v>-4.49</v>
      </c>
      <c r="T116">
        <v>0.89</v>
      </c>
      <c r="U116">
        <v>1.36</v>
      </c>
      <c r="V116">
        <v>1.4</v>
      </c>
      <c r="W116">
        <v>2.62</v>
      </c>
      <c r="X116">
        <v>1.1000000000000001</v>
      </c>
      <c r="Y116">
        <v>1.36</v>
      </c>
      <c r="Z116">
        <v>1.22</v>
      </c>
      <c r="AA116">
        <v>0.28999999999999998</v>
      </c>
      <c r="AB116">
        <v>0.42</v>
      </c>
      <c r="AC116">
        <v>1.1100000000000001</v>
      </c>
      <c r="AD116">
        <v>2.5099999999999998</v>
      </c>
      <c r="AE116">
        <v>3.3</v>
      </c>
      <c r="AF116">
        <v>1.4750000000000001</v>
      </c>
      <c r="AG116" t="str">
        <f>HYPERLINK("https://finance.naver.com/item/fchart.naver?code=000225", "유유제약1우 차트보기")</f>
        <v>유유제약1우 차트보기</v>
      </c>
    </row>
    <row r="117" spans="1:33" x14ac:dyDescent="0.3">
      <c r="A117" t="s">
        <v>495</v>
      </c>
      <c r="B117" t="s">
        <v>34</v>
      </c>
      <c r="C117" t="s">
        <v>496</v>
      </c>
      <c r="D117">
        <v>138199.85999999999</v>
      </c>
      <c r="E117" t="s">
        <v>497</v>
      </c>
      <c r="F117">
        <v>36.43</v>
      </c>
      <c r="G117">
        <v>1.379999995231628</v>
      </c>
      <c r="H117">
        <v>227</v>
      </c>
      <c r="I117">
        <v>2.4200000762939449</v>
      </c>
      <c r="J117" t="s">
        <v>498</v>
      </c>
      <c r="K117">
        <v>10220</v>
      </c>
      <c r="L117">
        <v>8270</v>
      </c>
      <c r="M117">
        <v>-19.079999999999998</v>
      </c>
      <c r="N117">
        <v>-2.71</v>
      </c>
      <c r="O117">
        <v>0.71</v>
      </c>
      <c r="P117">
        <v>-7.66</v>
      </c>
      <c r="Q117">
        <v>-0.86</v>
      </c>
      <c r="R117">
        <v>-3</v>
      </c>
      <c r="S117">
        <v>-3.81</v>
      </c>
      <c r="T117">
        <v>2.23</v>
      </c>
      <c r="U117">
        <v>1.83</v>
      </c>
      <c r="V117">
        <v>3.11</v>
      </c>
      <c r="W117">
        <v>4.8499999999999996</v>
      </c>
      <c r="X117">
        <v>2.89</v>
      </c>
      <c r="Y117">
        <v>1.06</v>
      </c>
      <c r="Z117">
        <v>1.22</v>
      </c>
      <c r="AA117">
        <v>0.39</v>
      </c>
      <c r="AB117">
        <v>2.46</v>
      </c>
      <c r="AC117">
        <v>0.18</v>
      </c>
      <c r="AD117">
        <v>1.04</v>
      </c>
      <c r="AE117">
        <v>3.59</v>
      </c>
      <c r="AF117">
        <v>1.48</v>
      </c>
      <c r="AG117" t="str">
        <f>HYPERLINK("https://finance.naver.com/item/fchart.naver?code=192650", "드림텍 차트보기")</f>
        <v>드림텍 차트보기</v>
      </c>
    </row>
    <row r="118" spans="1:33" x14ac:dyDescent="0.3">
      <c r="A118" t="s">
        <v>499</v>
      </c>
      <c r="B118" t="s">
        <v>55</v>
      </c>
      <c r="C118" t="s">
        <v>500</v>
      </c>
      <c r="D118">
        <v>203323.29</v>
      </c>
      <c r="E118" t="s">
        <v>501</v>
      </c>
      <c r="F118">
        <v>11.5</v>
      </c>
      <c r="G118">
        <v>0.55000001192092896</v>
      </c>
      <c r="H118">
        <v>140</v>
      </c>
      <c r="I118">
        <v>0</v>
      </c>
      <c r="J118" t="s">
        <v>502</v>
      </c>
      <c r="K118">
        <v>1835</v>
      </c>
      <c r="L118">
        <v>1610</v>
      </c>
      <c r="M118">
        <v>-12.26</v>
      </c>
      <c r="N118">
        <v>-1.77</v>
      </c>
      <c r="O118">
        <v>2.7</v>
      </c>
      <c r="P118">
        <v>-2.23</v>
      </c>
      <c r="Q118">
        <v>-5.03</v>
      </c>
      <c r="R118">
        <v>2.0099999999999998</v>
      </c>
      <c r="S118">
        <v>-5.26</v>
      </c>
      <c r="T118">
        <v>1.31</v>
      </c>
      <c r="U118">
        <v>1.52</v>
      </c>
      <c r="V118">
        <v>2.2200000000000002</v>
      </c>
      <c r="W118">
        <v>3.62</v>
      </c>
      <c r="X118">
        <v>5.05</v>
      </c>
      <c r="Y118">
        <v>1.78</v>
      </c>
      <c r="Z118">
        <v>1.35</v>
      </c>
      <c r="AA118">
        <v>1.78</v>
      </c>
      <c r="AB118">
        <v>1</v>
      </c>
      <c r="AC118">
        <v>1.39</v>
      </c>
      <c r="AD118">
        <v>0.4</v>
      </c>
      <c r="AE118">
        <v>2.96</v>
      </c>
      <c r="AF118">
        <v>1.48</v>
      </c>
      <c r="AG118" t="str">
        <f>HYPERLINK("https://finance.naver.com/item/fchart.naver?code=014190", "원익큐브 차트보기")</f>
        <v>원익큐브 차트보기</v>
      </c>
    </row>
    <row r="119" spans="1:33" x14ac:dyDescent="0.3">
      <c r="A119" t="s">
        <v>503</v>
      </c>
      <c r="B119" t="s">
        <v>34</v>
      </c>
      <c r="C119" t="s">
        <v>504</v>
      </c>
      <c r="D119">
        <v>15159.24</v>
      </c>
      <c r="E119" t="s">
        <v>505</v>
      </c>
      <c r="F119">
        <v>0</v>
      </c>
      <c r="G119">
        <v>0</v>
      </c>
      <c r="H119">
        <v>0</v>
      </c>
      <c r="I119">
        <v>0.51999998092651367</v>
      </c>
      <c r="J119" t="s">
        <v>506</v>
      </c>
      <c r="K119">
        <v>13870</v>
      </c>
      <c r="L119">
        <v>9570</v>
      </c>
      <c r="M119">
        <v>-31</v>
      </c>
      <c r="N119">
        <v>-1.1399999999999999</v>
      </c>
      <c r="O119">
        <v>-5.0199999999999996</v>
      </c>
      <c r="P119">
        <v>0.79</v>
      </c>
      <c r="Q119">
        <v>-7.79</v>
      </c>
      <c r="R119">
        <v>-7.65</v>
      </c>
      <c r="S119">
        <v>-1.2</v>
      </c>
      <c r="T119">
        <v>1.91</v>
      </c>
      <c r="U119">
        <v>1.29</v>
      </c>
      <c r="V119">
        <v>2.14</v>
      </c>
      <c r="W119">
        <v>8.06</v>
      </c>
      <c r="X119">
        <v>2.83</v>
      </c>
      <c r="Y119">
        <v>3.45</v>
      </c>
      <c r="Z119">
        <v>0.6</v>
      </c>
      <c r="AA119">
        <v>3.89</v>
      </c>
      <c r="AB119">
        <v>0.37</v>
      </c>
      <c r="AC119">
        <v>0.97</v>
      </c>
      <c r="AD119">
        <v>2.7</v>
      </c>
      <c r="AE119">
        <v>0.35</v>
      </c>
      <c r="AF119">
        <v>1.48</v>
      </c>
      <c r="AG119" t="str">
        <f>HYPERLINK("https://finance.naver.com/item/fchart.naver?code=004835", "덕성우 차트보기")</f>
        <v>덕성우 차트보기</v>
      </c>
    </row>
    <row r="120" spans="1:33" x14ac:dyDescent="0.3">
      <c r="A120" t="s">
        <v>507</v>
      </c>
      <c r="B120" t="s">
        <v>55</v>
      </c>
      <c r="C120" t="s">
        <v>508</v>
      </c>
      <c r="D120">
        <v>9368.81</v>
      </c>
      <c r="E120" t="s">
        <v>509</v>
      </c>
      <c r="F120">
        <v>0</v>
      </c>
      <c r="G120">
        <v>0</v>
      </c>
      <c r="H120">
        <v>0</v>
      </c>
      <c r="I120">
        <v>0</v>
      </c>
      <c r="J120" t="s">
        <v>510</v>
      </c>
      <c r="K120">
        <v>2135</v>
      </c>
      <c r="L120">
        <v>2090</v>
      </c>
      <c r="M120">
        <v>-2.11</v>
      </c>
      <c r="N120">
        <v>0.48</v>
      </c>
      <c r="O120">
        <v>-0.24</v>
      </c>
      <c r="P120">
        <v>-0.47</v>
      </c>
      <c r="Q120">
        <v>-0.47</v>
      </c>
      <c r="R120">
        <v>-1.1599999999999999</v>
      </c>
      <c r="S120">
        <v>1.65</v>
      </c>
      <c r="T120">
        <v>0.49</v>
      </c>
      <c r="U120">
        <v>0.44</v>
      </c>
      <c r="V120">
        <v>0.56999999999999995</v>
      </c>
      <c r="W120">
        <v>0.53</v>
      </c>
      <c r="X120">
        <v>0.49</v>
      </c>
      <c r="Y120">
        <v>0.5</v>
      </c>
      <c r="Z120">
        <v>0.98</v>
      </c>
      <c r="AA120">
        <v>0.55000000000000004</v>
      </c>
      <c r="AB120">
        <v>0.82</v>
      </c>
      <c r="AC120">
        <v>0.89</v>
      </c>
      <c r="AD120">
        <v>2.37</v>
      </c>
      <c r="AE120">
        <v>3.3</v>
      </c>
      <c r="AF120">
        <v>1.4850000000000001</v>
      </c>
      <c r="AG120" t="str">
        <f>HYPERLINK("https://finance.naver.com/item/fchart.naver?code=440820", "엔에이치스팩27호 차트보기")</f>
        <v>엔에이치스팩27호 차트보기</v>
      </c>
    </row>
    <row r="121" spans="1:33" x14ac:dyDescent="0.3">
      <c r="A121" t="s">
        <v>511</v>
      </c>
      <c r="B121" t="s">
        <v>34</v>
      </c>
      <c r="C121" t="s">
        <v>512</v>
      </c>
      <c r="D121">
        <v>212144.19</v>
      </c>
      <c r="E121" t="s">
        <v>513</v>
      </c>
      <c r="F121">
        <v>7.91</v>
      </c>
      <c r="G121">
        <v>0.69999998807907104</v>
      </c>
      <c r="H121">
        <v>7659</v>
      </c>
      <c r="I121">
        <v>1.1599999666213989</v>
      </c>
      <c r="J121" t="s">
        <v>514</v>
      </c>
      <c r="K121">
        <v>57300</v>
      </c>
      <c r="L121">
        <v>60600</v>
      </c>
      <c r="M121">
        <v>5.76</v>
      </c>
      <c r="N121">
        <v>18.59</v>
      </c>
      <c r="O121">
        <v>-0.39</v>
      </c>
      <c r="P121">
        <v>0.77</v>
      </c>
      <c r="Q121">
        <v>-11.54</v>
      </c>
      <c r="R121">
        <v>1.19</v>
      </c>
      <c r="S121">
        <v>-3.51</v>
      </c>
      <c r="T121">
        <v>7.57</v>
      </c>
      <c r="U121">
        <v>2.08</v>
      </c>
      <c r="V121">
        <v>2.6</v>
      </c>
      <c r="W121">
        <v>3.39</v>
      </c>
      <c r="X121">
        <v>5.5</v>
      </c>
      <c r="Y121">
        <v>1.5</v>
      </c>
      <c r="Z121">
        <v>2.46</v>
      </c>
      <c r="AA121">
        <v>0.19</v>
      </c>
      <c r="AB121">
        <v>0.3</v>
      </c>
      <c r="AC121">
        <v>3.4</v>
      </c>
      <c r="AD121">
        <v>0.22</v>
      </c>
      <c r="AE121">
        <v>2.34</v>
      </c>
      <c r="AF121">
        <v>1.4850000000000001</v>
      </c>
      <c r="AG121" t="str">
        <f>HYPERLINK("https://finance.naver.com/item/fchart.naver?code=267270", "HD현대건설기계 차트보기")</f>
        <v>HD현대건설기계 차트보기</v>
      </c>
    </row>
    <row r="122" spans="1:33" x14ac:dyDescent="0.3">
      <c r="A122" t="s">
        <v>515</v>
      </c>
      <c r="B122" t="s">
        <v>34</v>
      </c>
      <c r="C122" t="s">
        <v>516</v>
      </c>
      <c r="D122">
        <v>319518.62</v>
      </c>
      <c r="E122" t="s">
        <v>517</v>
      </c>
      <c r="F122">
        <v>3.3</v>
      </c>
      <c r="G122">
        <v>0.239999994635582</v>
      </c>
      <c r="H122">
        <v>1285</v>
      </c>
      <c r="I122">
        <v>5.9000000953674316</v>
      </c>
      <c r="J122" t="s">
        <v>518</v>
      </c>
      <c r="K122">
        <v>4535</v>
      </c>
      <c r="L122">
        <v>4240</v>
      </c>
      <c r="M122">
        <v>-6.5</v>
      </c>
      <c r="N122">
        <v>5.47</v>
      </c>
      <c r="O122">
        <v>-3.73</v>
      </c>
      <c r="P122">
        <v>-1.07</v>
      </c>
      <c r="Q122">
        <v>-2.58</v>
      </c>
      <c r="R122">
        <v>-1.01</v>
      </c>
      <c r="S122">
        <v>-6.2</v>
      </c>
      <c r="T122">
        <v>2.2200000000000002</v>
      </c>
      <c r="U122">
        <v>1.08</v>
      </c>
      <c r="V122">
        <v>1.39</v>
      </c>
      <c r="W122">
        <v>3.32</v>
      </c>
      <c r="X122">
        <v>2.2599999999999998</v>
      </c>
      <c r="Y122">
        <v>6</v>
      </c>
      <c r="Z122">
        <v>2.46</v>
      </c>
      <c r="AA122">
        <v>3.45</v>
      </c>
      <c r="AB122">
        <v>0.77</v>
      </c>
      <c r="AC122">
        <v>0.78</v>
      </c>
      <c r="AD122">
        <v>0.45</v>
      </c>
      <c r="AE122">
        <v>1.03</v>
      </c>
      <c r="AF122">
        <v>1.49</v>
      </c>
      <c r="AG122" t="str">
        <f>HYPERLINK("https://finance.naver.com/item/fchart.naver?code=005010", "휴스틸 차트보기")</f>
        <v>휴스틸 차트보기</v>
      </c>
    </row>
    <row r="123" spans="1:33" x14ac:dyDescent="0.3">
      <c r="A123" t="s">
        <v>519</v>
      </c>
      <c r="B123" t="s">
        <v>55</v>
      </c>
      <c r="C123" t="s">
        <v>520</v>
      </c>
      <c r="D123">
        <v>1206011.76</v>
      </c>
      <c r="E123" t="s">
        <v>521</v>
      </c>
      <c r="F123">
        <v>22.97</v>
      </c>
      <c r="G123">
        <v>8.5799999237060547</v>
      </c>
      <c r="H123">
        <v>370</v>
      </c>
      <c r="I123">
        <v>0.2099999934434891</v>
      </c>
      <c r="J123" t="s">
        <v>522</v>
      </c>
      <c r="K123">
        <v>10570</v>
      </c>
      <c r="L123">
        <v>8500</v>
      </c>
      <c r="M123">
        <v>-19.579999999999998</v>
      </c>
      <c r="N123">
        <v>4.55</v>
      </c>
      <c r="O123">
        <v>-2.21</v>
      </c>
      <c r="P123">
        <v>4.71</v>
      </c>
      <c r="Q123">
        <v>-18.739999999999998</v>
      </c>
      <c r="R123">
        <v>-4.2300000000000004</v>
      </c>
      <c r="S123">
        <v>-1.44</v>
      </c>
      <c r="T123">
        <v>2.87</v>
      </c>
      <c r="U123">
        <v>3.18</v>
      </c>
      <c r="V123">
        <v>3.04</v>
      </c>
      <c r="W123">
        <v>5.6</v>
      </c>
      <c r="X123">
        <v>3.33</v>
      </c>
      <c r="Y123">
        <v>2.6</v>
      </c>
      <c r="Z123">
        <v>1.59</v>
      </c>
      <c r="AA123">
        <v>0.69</v>
      </c>
      <c r="AB123">
        <v>1.55</v>
      </c>
      <c r="AC123">
        <v>3.35</v>
      </c>
      <c r="AD123">
        <v>1.27</v>
      </c>
      <c r="AE123">
        <v>0.55000000000000004</v>
      </c>
      <c r="AF123">
        <v>1.5</v>
      </c>
      <c r="AG123" t="str">
        <f>HYPERLINK("https://finance.naver.com/item/fchart.naver?code=335890", "비올 차트보기")</f>
        <v>비올 차트보기</v>
      </c>
    </row>
    <row r="124" spans="1:33" x14ac:dyDescent="0.3">
      <c r="A124" t="s">
        <v>523</v>
      </c>
      <c r="B124" t="s">
        <v>34</v>
      </c>
      <c r="C124" t="s">
        <v>524</v>
      </c>
      <c r="D124">
        <v>429510.33</v>
      </c>
      <c r="E124" t="s">
        <v>525</v>
      </c>
      <c r="F124">
        <v>0</v>
      </c>
      <c r="G124">
        <v>1.309999942779541</v>
      </c>
      <c r="H124">
        <v>0</v>
      </c>
      <c r="I124">
        <v>0</v>
      </c>
      <c r="J124" t="s">
        <v>526</v>
      </c>
      <c r="K124">
        <v>4990</v>
      </c>
      <c r="L124">
        <v>5500</v>
      </c>
      <c r="M124">
        <v>10.220000000000001</v>
      </c>
      <c r="N124">
        <v>-0.72</v>
      </c>
      <c r="O124">
        <v>1.1200000000000001</v>
      </c>
      <c r="P124">
        <v>-0.91</v>
      </c>
      <c r="Q124">
        <v>-14.57</v>
      </c>
      <c r="R124">
        <v>10.28</v>
      </c>
      <c r="S124">
        <v>20.13</v>
      </c>
      <c r="T124">
        <v>1.72</v>
      </c>
      <c r="U124">
        <v>2.33</v>
      </c>
      <c r="V124">
        <v>1.69</v>
      </c>
      <c r="W124">
        <v>7.83</v>
      </c>
      <c r="X124">
        <v>4.01</v>
      </c>
      <c r="Y124">
        <v>6.41</v>
      </c>
      <c r="Z124">
        <v>0.42</v>
      </c>
      <c r="AA124">
        <v>0.48</v>
      </c>
      <c r="AB124">
        <v>0.54</v>
      </c>
      <c r="AC124">
        <v>1.86</v>
      </c>
      <c r="AD124">
        <v>2.56</v>
      </c>
      <c r="AE124">
        <v>3.14</v>
      </c>
      <c r="AF124">
        <v>1.5</v>
      </c>
      <c r="AG124" t="str">
        <f>HYPERLINK("https://finance.naver.com/item/fchart.naver?code=002720", "국제약품 차트보기")</f>
        <v>국제약품 차트보기</v>
      </c>
    </row>
    <row r="125" spans="1:33" x14ac:dyDescent="0.3">
      <c r="A125" t="s">
        <v>527</v>
      </c>
      <c r="B125" t="s">
        <v>34</v>
      </c>
      <c r="C125" t="s">
        <v>528</v>
      </c>
      <c r="D125">
        <v>362923.48</v>
      </c>
      <c r="E125" t="s">
        <v>529</v>
      </c>
      <c r="F125">
        <v>78.680000000000007</v>
      </c>
      <c r="G125">
        <v>4.820000171661377</v>
      </c>
      <c r="H125">
        <v>5287</v>
      </c>
      <c r="I125">
        <v>0</v>
      </c>
      <c r="J125" t="s">
        <v>530</v>
      </c>
      <c r="K125">
        <v>381500</v>
      </c>
      <c r="L125">
        <v>416000</v>
      </c>
      <c r="M125">
        <v>9.0399999999999991</v>
      </c>
      <c r="N125">
        <v>0.85</v>
      </c>
      <c r="O125">
        <v>-0.24</v>
      </c>
      <c r="P125">
        <v>0.61</v>
      </c>
      <c r="Q125">
        <v>16.34</v>
      </c>
      <c r="R125">
        <v>-6.63</v>
      </c>
      <c r="S125">
        <v>-1.66</v>
      </c>
      <c r="T125">
        <v>3.95</v>
      </c>
      <c r="U125">
        <v>2.42</v>
      </c>
      <c r="V125">
        <v>3.11</v>
      </c>
      <c r="W125">
        <v>3.02</v>
      </c>
      <c r="X125">
        <v>2.8</v>
      </c>
      <c r="Y125">
        <v>2.27</v>
      </c>
      <c r="Z125">
        <v>0.22</v>
      </c>
      <c r="AA125">
        <v>0.1</v>
      </c>
      <c r="AB125">
        <v>0.2</v>
      </c>
      <c r="AC125">
        <v>5.41</v>
      </c>
      <c r="AD125">
        <v>2.37</v>
      </c>
      <c r="AE125">
        <v>0.73</v>
      </c>
      <c r="AF125">
        <v>1.5049999999999999</v>
      </c>
      <c r="AG125" t="str">
        <f>HYPERLINK("https://finance.naver.com/item/fchart.naver?code=373220", "LG에너지솔루션 차트보기")</f>
        <v>LG에너지솔루션 차트보기</v>
      </c>
    </row>
    <row r="126" spans="1:33" x14ac:dyDescent="0.3">
      <c r="A126" t="s">
        <v>531</v>
      </c>
      <c r="B126" t="s">
        <v>55</v>
      </c>
      <c r="C126" t="s">
        <v>532</v>
      </c>
      <c r="D126">
        <v>175619.05</v>
      </c>
      <c r="E126" t="s">
        <v>533</v>
      </c>
      <c r="F126">
        <v>32.71</v>
      </c>
      <c r="G126">
        <v>2.3199999332427979</v>
      </c>
      <c r="H126">
        <v>1099</v>
      </c>
      <c r="I126">
        <v>0.56000000238418579</v>
      </c>
      <c r="J126" t="s">
        <v>534</v>
      </c>
      <c r="K126">
        <v>47250</v>
      </c>
      <c r="L126">
        <v>35950</v>
      </c>
      <c r="M126">
        <v>-23.92</v>
      </c>
      <c r="N126">
        <v>-3.75</v>
      </c>
      <c r="O126">
        <v>0.81</v>
      </c>
      <c r="P126">
        <v>-13.55</v>
      </c>
      <c r="Q126">
        <v>-2.5499999999999998</v>
      </c>
      <c r="R126">
        <v>-10.199999999999999</v>
      </c>
      <c r="S126">
        <v>0.3</v>
      </c>
      <c r="T126">
        <v>1.97</v>
      </c>
      <c r="U126">
        <v>3.04</v>
      </c>
      <c r="V126">
        <v>3.89</v>
      </c>
      <c r="W126">
        <v>5.81</v>
      </c>
      <c r="X126">
        <v>3.57</v>
      </c>
      <c r="Y126">
        <v>3.24</v>
      </c>
      <c r="Z126">
        <v>1.9</v>
      </c>
      <c r="AA126">
        <v>0.27</v>
      </c>
      <c r="AB126">
        <v>3.48</v>
      </c>
      <c r="AC126">
        <v>0.44</v>
      </c>
      <c r="AD126">
        <v>2.86</v>
      </c>
      <c r="AE126">
        <v>0.09</v>
      </c>
      <c r="AF126">
        <v>1.506666666666667</v>
      </c>
      <c r="AG126" t="str">
        <f>HYPERLINK("https://finance.naver.com/item/fchart.naver?code=084370", "유진테크 차트보기")</f>
        <v>유진테크 차트보기</v>
      </c>
    </row>
    <row r="127" spans="1:33" x14ac:dyDescent="0.3">
      <c r="A127" t="s">
        <v>535</v>
      </c>
      <c r="B127" t="s">
        <v>34</v>
      </c>
      <c r="C127" t="s">
        <v>536</v>
      </c>
      <c r="D127">
        <v>23282.76</v>
      </c>
      <c r="E127" t="s">
        <v>537</v>
      </c>
      <c r="F127">
        <v>0</v>
      </c>
      <c r="G127">
        <v>0.62000000476837158</v>
      </c>
      <c r="H127">
        <v>0</v>
      </c>
      <c r="I127">
        <v>0</v>
      </c>
      <c r="J127" t="s">
        <v>538</v>
      </c>
      <c r="K127">
        <v>2945</v>
      </c>
      <c r="L127">
        <v>2890</v>
      </c>
      <c r="M127">
        <v>-1.87</v>
      </c>
      <c r="N127">
        <v>5.86</v>
      </c>
      <c r="O127">
        <v>-9.01</v>
      </c>
      <c r="P127">
        <v>1.9</v>
      </c>
      <c r="Q127">
        <v>-1.18</v>
      </c>
      <c r="R127">
        <v>-1.97</v>
      </c>
      <c r="S127">
        <v>-0.83</v>
      </c>
      <c r="T127">
        <v>3.34</v>
      </c>
      <c r="U127">
        <v>2.36</v>
      </c>
      <c r="V127">
        <v>1.69</v>
      </c>
      <c r="W127">
        <v>2.2200000000000002</v>
      </c>
      <c r="X127">
        <v>1.65</v>
      </c>
      <c r="Y127">
        <v>1.28</v>
      </c>
      <c r="Z127">
        <v>1.75</v>
      </c>
      <c r="AA127">
        <v>3.82</v>
      </c>
      <c r="AB127">
        <v>1.1200000000000001</v>
      </c>
      <c r="AC127">
        <v>0.53</v>
      </c>
      <c r="AD127">
        <v>1.19</v>
      </c>
      <c r="AE127">
        <v>0.65</v>
      </c>
      <c r="AF127">
        <v>1.51</v>
      </c>
      <c r="AG127" t="str">
        <f>HYPERLINK("https://finance.naver.com/item/fchart.naver?code=006570", "대림통상 차트보기")</f>
        <v>대림통상 차트보기</v>
      </c>
    </row>
    <row r="128" spans="1:33" x14ac:dyDescent="0.3">
      <c r="A128" t="s">
        <v>539</v>
      </c>
      <c r="B128" t="s">
        <v>55</v>
      </c>
      <c r="C128" t="s">
        <v>540</v>
      </c>
      <c r="D128">
        <v>30071.33</v>
      </c>
      <c r="E128" t="s">
        <v>541</v>
      </c>
      <c r="F128">
        <v>10.77</v>
      </c>
      <c r="G128">
        <v>1.440000057220459</v>
      </c>
      <c r="H128">
        <v>2925</v>
      </c>
      <c r="I128">
        <v>1.5900000333786011</v>
      </c>
      <c r="J128" t="s">
        <v>542</v>
      </c>
      <c r="K128">
        <v>30750</v>
      </c>
      <c r="L128">
        <v>31500</v>
      </c>
      <c r="M128">
        <v>2.44</v>
      </c>
      <c r="N128">
        <v>-2.63</v>
      </c>
      <c r="O128">
        <v>1.89</v>
      </c>
      <c r="P128">
        <v>-0.15</v>
      </c>
      <c r="Q128">
        <v>-15.7</v>
      </c>
      <c r="R128">
        <v>-5.09</v>
      </c>
      <c r="S128">
        <v>35.49</v>
      </c>
      <c r="T128">
        <v>4.54</v>
      </c>
      <c r="U128">
        <v>3.1</v>
      </c>
      <c r="V128">
        <v>2.48</v>
      </c>
      <c r="W128">
        <v>5.62</v>
      </c>
      <c r="X128">
        <v>3.98</v>
      </c>
      <c r="Y128">
        <v>9.4600000000000009</v>
      </c>
      <c r="Z128">
        <v>0.57999999999999996</v>
      </c>
      <c r="AA128">
        <v>0.61</v>
      </c>
      <c r="AB128">
        <v>0.06</v>
      </c>
      <c r="AC128">
        <v>2.79</v>
      </c>
      <c r="AD128">
        <v>1.28</v>
      </c>
      <c r="AE128">
        <v>3.75</v>
      </c>
      <c r="AF128">
        <v>1.5116666666666669</v>
      </c>
      <c r="AG128" t="str">
        <f>HYPERLINK("https://finance.naver.com/item/fchart.naver?code=260970", "에스앤디 차트보기")</f>
        <v>에스앤디 차트보기</v>
      </c>
    </row>
    <row r="129" spans="1:33" x14ac:dyDescent="0.3">
      <c r="A129" t="s">
        <v>543</v>
      </c>
      <c r="B129" t="s">
        <v>55</v>
      </c>
      <c r="C129" t="s">
        <v>544</v>
      </c>
      <c r="D129">
        <v>153537.76</v>
      </c>
      <c r="E129" t="s">
        <v>545</v>
      </c>
      <c r="F129">
        <v>5.32</v>
      </c>
      <c r="G129">
        <v>0.67000001668930054</v>
      </c>
      <c r="H129">
        <v>946</v>
      </c>
      <c r="I129">
        <v>2.9800000190734859</v>
      </c>
      <c r="J129" t="s">
        <v>546</v>
      </c>
      <c r="K129">
        <v>5960</v>
      </c>
      <c r="L129">
        <v>5030</v>
      </c>
      <c r="M129">
        <v>-15.6</v>
      </c>
      <c r="N129">
        <v>7.14</v>
      </c>
      <c r="O129">
        <v>-6.86</v>
      </c>
      <c r="P129">
        <v>-1.55</v>
      </c>
      <c r="Q129">
        <v>-4.2699999999999996</v>
      </c>
      <c r="R129">
        <v>0</v>
      </c>
      <c r="S129">
        <v>-2.68</v>
      </c>
      <c r="T129">
        <v>6.32</v>
      </c>
      <c r="U129">
        <v>1.55</v>
      </c>
      <c r="V129">
        <v>2.33</v>
      </c>
      <c r="W129">
        <v>4.51</v>
      </c>
      <c r="X129">
        <v>1.76</v>
      </c>
      <c r="Y129">
        <v>1.41</v>
      </c>
      <c r="Z129">
        <v>1.1299999999999999</v>
      </c>
      <c r="AA129">
        <v>4.43</v>
      </c>
      <c r="AB129">
        <v>0.67</v>
      </c>
      <c r="AC129">
        <v>0.95</v>
      </c>
      <c r="AD129">
        <v>0</v>
      </c>
      <c r="AE129">
        <v>1.9</v>
      </c>
      <c r="AF129">
        <v>1.513333333333333</v>
      </c>
      <c r="AG129" t="str">
        <f>HYPERLINK("https://finance.naver.com/item/fchart.naver?code=137950", "제이씨케미칼 차트보기")</f>
        <v>제이씨케미칼 차트보기</v>
      </c>
    </row>
    <row r="130" spans="1:33" x14ac:dyDescent="0.3">
      <c r="A130" t="s">
        <v>547</v>
      </c>
      <c r="B130" t="s">
        <v>55</v>
      </c>
      <c r="C130" t="s">
        <v>548</v>
      </c>
      <c r="D130">
        <v>65158.05</v>
      </c>
      <c r="E130" t="s">
        <v>549</v>
      </c>
      <c r="F130">
        <v>4.58</v>
      </c>
      <c r="G130">
        <v>0.23000000417232511</v>
      </c>
      <c r="H130">
        <v>687</v>
      </c>
      <c r="I130">
        <v>2.2300000190734859</v>
      </c>
      <c r="J130" t="s">
        <v>550</v>
      </c>
      <c r="K130">
        <v>3580</v>
      </c>
      <c r="L130">
        <v>3145</v>
      </c>
      <c r="M130">
        <v>-12.15</v>
      </c>
      <c r="N130">
        <v>-2.78</v>
      </c>
      <c r="O130">
        <v>-4.76</v>
      </c>
      <c r="P130">
        <v>-0.59</v>
      </c>
      <c r="Q130">
        <v>-6.5</v>
      </c>
      <c r="R130">
        <v>-0.41</v>
      </c>
      <c r="S130">
        <v>-2.12</v>
      </c>
      <c r="T130">
        <v>1.52</v>
      </c>
      <c r="U130">
        <v>1.61</v>
      </c>
      <c r="V130">
        <v>1.45</v>
      </c>
      <c r="W130">
        <v>3.71</v>
      </c>
      <c r="X130">
        <v>1.1100000000000001</v>
      </c>
      <c r="Y130">
        <v>1.18</v>
      </c>
      <c r="Z130">
        <v>1.83</v>
      </c>
      <c r="AA130">
        <v>2.96</v>
      </c>
      <c r="AB130">
        <v>0.41</v>
      </c>
      <c r="AC130">
        <v>1.75</v>
      </c>
      <c r="AD130">
        <v>0.37</v>
      </c>
      <c r="AE130">
        <v>1.8</v>
      </c>
      <c r="AF130">
        <v>1.52</v>
      </c>
      <c r="AG130" t="str">
        <f>HYPERLINK("https://finance.naver.com/item/fchart.naver?code=101330", "모베이스 차트보기")</f>
        <v>모베이스 차트보기</v>
      </c>
    </row>
    <row r="131" spans="1:33" x14ac:dyDescent="0.3">
      <c r="A131" t="s">
        <v>551</v>
      </c>
      <c r="B131" t="s">
        <v>34</v>
      </c>
      <c r="C131" t="s">
        <v>552</v>
      </c>
      <c r="D131">
        <v>675.43</v>
      </c>
      <c r="E131" t="s">
        <v>553</v>
      </c>
      <c r="F131">
        <v>0</v>
      </c>
      <c r="G131">
        <v>0</v>
      </c>
      <c r="H131">
        <v>0</v>
      </c>
      <c r="I131">
        <v>1.25</v>
      </c>
      <c r="J131" t="s">
        <v>554</v>
      </c>
      <c r="K131">
        <v>27150</v>
      </c>
      <c r="L131">
        <v>24000</v>
      </c>
      <c r="M131">
        <v>-11.6</v>
      </c>
      <c r="N131">
        <v>0</v>
      </c>
      <c r="O131">
        <v>-2.62</v>
      </c>
      <c r="P131">
        <v>-4.18</v>
      </c>
      <c r="Q131">
        <v>3.7</v>
      </c>
      <c r="R131">
        <v>-3.3</v>
      </c>
      <c r="S131">
        <v>-2.82</v>
      </c>
      <c r="T131">
        <v>2.66</v>
      </c>
      <c r="U131">
        <v>1.38</v>
      </c>
      <c r="V131">
        <v>1.95</v>
      </c>
      <c r="W131">
        <v>6.4</v>
      </c>
      <c r="X131">
        <v>1.76</v>
      </c>
      <c r="Y131">
        <v>1.07</v>
      </c>
      <c r="Z131">
        <v>0</v>
      </c>
      <c r="AA131">
        <v>1.9</v>
      </c>
      <c r="AB131">
        <v>2.14</v>
      </c>
      <c r="AC131">
        <v>0.57999999999999996</v>
      </c>
      <c r="AD131">
        <v>1.88</v>
      </c>
      <c r="AE131">
        <v>2.64</v>
      </c>
      <c r="AF131">
        <v>1.523333333333333</v>
      </c>
      <c r="AG131" t="str">
        <f>HYPERLINK("https://finance.naver.com/item/fchart.naver?code=005257", "녹십자홀딩스2우 차트보기")</f>
        <v>녹십자홀딩스2우 차트보기</v>
      </c>
    </row>
    <row r="132" spans="1:33" x14ac:dyDescent="0.3">
      <c r="A132" t="s">
        <v>555</v>
      </c>
      <c r="B132" t="s">
        <v>55</v>
      </c>
      <c r="C132" t="s">
        <v>556</v>
      </c>
      <c r="D132">
        <v>34077.19</v>
      </c>
      <c r="E132" t="s">
        <v>557</v>
      </c>
      <c r="F132">
        <v>42.7</v>
      </c>
      <c r="G132">
        <v>2.2999999523162842</v>
      </c>
      <c r="H132">
        <v>363</v>
      </c>
      <c r="I132">
        <v>0</v>
      </c>
      <c r="J132" t="s">
        <v>558</v>
      </c>
      <c r="K132">
        <v>31000</v>
      </c>
      <c r="L132">
        <v>15500</v>
      </c>
      <c r="M132">
        <v>-50</v>
      </c>
      <c r="N132">
        <v>-6.85</v>
      </c>
      <c r="O132">
        <v>-2.75</v>
      </c>
      <c r="P132">
        <v>-5.84</v>
      </c>
      <c r="Q132">
        <v>-13.88</v>
      </c>
      <c r="R132">
        <v>0</v>
      </c>
      <c r="S132">
        <v>-4.18</v>
      </c>
      <c r="T132">
        <v>2.39</v>
      </c>
      <c r="U132">
        <v>2.69</v>
      </c>
      <c r="V132">
        <v>4.12</v>
      </c>
      <c r="W132">
        <v>5.34</v>
      </c>
      <c r="X132">
        <v>5.88</v>
      </c>
      <c r="Y132">
        <v>3.28</v>
      </c>
      <c r="Z132">
        <v>2.87</v>
      </c>
      <c r="AA132">
        <v>1.02</v>
      </c>
      <c r="AB132">
        <v>1.42</v>
      </c>
      <c r="AC132">
        <v>2.6</v>
      </c>
      <c r="AD132">
        <v>0</v>
      </c>
      <c r="AE132">
        <v>1.27</v>
      </c>
      <c r="AF132">
        <v>1.53</v>
      </c>
      <c r="AG132" t="str">
        <f>HYPERLINK("https://finance.naver.com/item/fchart.naver?code=322310", "오로스테크놀로지 차트보기")</f>
        <v>오로스테크놀로지 차트보기</v>
      </c>
    </row>
    <row r="133" spans="1:33" x14ac:dyDescent="0.3">
      <c r="A133" t="s">
        <v>559</v>
      </c>
      <c r="B133" t="s">
        <v>55</v>
      </c>
      <c r="C133" t="s">
        <v>560</v>
      </c>
      <c r="D133">
        <v>15213.1</v>
      </c>
      <c r="E133" t="s">
        <v>561</v>
      </c>
      <c r="F133">
        <v>0</v>
      </c>
      <c r="G133">
        <v>0</v>
      </c>
      <c r="H133">
        <v>0</v>
      </c>
      <c r="I133">
        <v>0</v>
      </c>
      <c r="J133" t="s">
        <v>562</v>
      </c>
      <c r="K133">
        <v>2005</v>
      </c>
      <c r="L133">
        <v>1988</v>
      </c>
      <c r="M133">
        <v>-0.85</v>
      </c>
      <c r="N133">
        <v>0.15</v>
      </c>
      <c r="O133">
        <v>-0.85</v>
      </c>
      <c r="P133">
        <v>-0.25</v>
      </c>
      <c r="Q133">
        <v>-0.3</v>
      </c>
      <c r="R133">
        <v>0.3</v>
      </c>
      <c r="S133">
        <v>0</v>
      </c>
      <c r="T133">
        <v>0.18</v>
      </c>
      <c r="U133">
        <v>0.19</v>
      </c>
      <c r="V133">
        <v>0.16</v>
      </c>
      <c r="W133">
        <v>0.28000000000000003</v>
      </c>
      <c r="X133">
        <v>0.24</v>
      </c>
      <c r="Y133">
        <v>0.18</v>
      </c>
      <c r="Z133">
        <v>0.83</v>
      </c>
      <c r="AA133">
        <v>4.47</v>
      </c>
      <c r="AB133">
        <v>1.56</v>
      </c>
      <c r="AC133">
        <v>1.07</v>
      </c>
      <c r="AD133">
        <v>1.25</v>
      </c>
      <c r="AE133">
        <v>0</v>
      </c>
      <c r="AF133">
        <v>1.53</v>
      </c>
      <c r="AG133" t="str">
        <f>HYPERLINK("https://finance.naver.com/item/fchart.naver?code=464680", "KB제27호스팩 차트보기")</f>
        <v>KB제27호스팩 차트보기</v>
      </c>
    </row>
    <row r="134" spans="1:33" x14ac:dyDescent="0.3">
      <c r="A134" t="s">
        <v>563</v>
      </c>
      <c r="B134" t="s">
        <v>55</v>
      </c>
      <c r="C134" t="s">
        <v>564</v>
      </c>
      <c r="D134">
        <v>1717034.86</v>
      </c>
      <c r="E134" t="s">
        <v>565</v>
      </c>
      <c r="J134" t="s">
        <v>566</v>
      </c>
      <c r="K134">
        <v>2610</v>
      </c>
      <c r="L134">
        <v>2120</v>
      </c>
      <c r="M134">
        <v>-18.77</v>
      </c>
      <c r="N134">
        <v>4.6900000000000004</v>
      </c>
      <c r="O134">
        <v>2.2799999999999998</v>
      </c>
      <c r="P134">
        <v>2.2400000000000002</v>
      </c>
      <c r="Q134">
        <v>-3.43</v>
      </c>
      <c r="R134">
        <v>-15.35</v>
      </c>
      <c r="S134">
        <v>18.36</v>
      </c>
      <c r="T134">
        <v>7.57</v>
      </c>
      <c r="U134">
        <v>6.53</v>
      </c>
      <c r="V134">
        <v>3.74</v>
      </c>
      <c r="W134">
        <v>6.5</v>
      </c>
      <c r="X134">
        <v>4.28</v>
      </c>
      <c r="Y134">
        <v>5.25</v>
      </c>
      <c r="Z134">
        <v>0.62</v>
      </c>
      <c r="AA134">
        <v>0.35</v>
      </c>
      <c r="AB134">
        <v>0.6</v>
      </c>
      <c r="AC134">
        <v>0.53</v>
      </c>
      <c r="AD134">
        <v>3.59</v>
      </c>
      <c r="AE134">
        <v>3.5</v>
      </c>
      <c r="AF134">
        <v>1.531666666666667</v>
      </c>
      <c r="AG134" t="str">
        <f>HYPERLINK("https://finance.naver.com/item/fchart.naver?code=900340", "윙입푸드 차트보기")</f>
        <v>윙입푸드 차트보기</v>
      </c>
    </row>
    <row r="135" spans="1:33" x14ac:dyDescent="0.3">
      <c r="A135" t="s">
        <v>567</v>
      </c>
      <c r="B135" t="s">
        <v>55</v>
      </c>
      <c r="C135" t="s">
        <v>568</v>
      </c>
      <c r="D135">
        <v>25954.9</v>
      </c>
      <c r="E135" t="s">
        <v>569</v>
      </c>
      <c r="F135">
        <v>24.02</v>
      </c>
      <c r="G135">
        <v>0.47999998927116388</v>
      </c>
      <c r="H135">
        <v>123</v>
      </c>
      <c r="I135">
        <v>1.690000057220459</v>
      </c>
      <c r="J135" t="s">
        <v>570</v>
      </c>
      <c r="K135">
        <v>3225</v>
      </c>
      <c r="L135">
        <v>2955</v>
      </c>
      <c r="M135">
        <v>-8.3699999999999992</v>
      </c>
      <c r="N135">
        <v>3.32</v>
      </c>
      <c r="O135">
        <v>-1.87</v>
      </c>
      <c r="P135">
        <v>-2.48</v>
      </c>
      <c r="Q135">
        <v>-2.5</v>
      </c>
      <c r="R135">
        <v>-2.61</v>
      </c>
      <c r="S135">
        <v>1.49</v>
      </c>
      <c r="T135">
        <v>2.2999999999999998</v>
      </c>
      <c r="U135">
        <v>1.32</v>
      </c>
      <c r="V135">
        <v>2</v>
      </c>
      <c r="W135">
        <v>2.75</v>
      </c>
      <c r="X135">
        <v>0.84</v>
      </c>
      <c r="Y135">
        <v>1.36</v>
      </c>
      <c r="Z135">
        <v>1.44</v>
      </c>
      <c r="AA135">
        <v>1.42</v>
      </c>
      <c r="AB135">
        <v>1.24</v>
      </c>
      <c r="AC135">
        <v>0.91</v>
      </c>
      <c r="AD135">
        <v>3.11</v>
      </c>
      <c r="AE135">
        <v>1.1000000000000001</v>
      </c>
      <c r="AF135">
        <v>1.536666666666666</v>
      </c>
      <c r="AG135" t="str">
        <f>HYPERLINK("https://finance.naver.com/item/fchart.naver?code=352700", "씨앤투스 차트보기")</f>
        <v>씨앤투스 차트보기</v>
      </c>
    </row>
    <row r="136" spans="1:33" x14ac:dyDescent="0.3">
      <c r="A136" t="s">
        <v>571</v>
      </c>
      <c r="B136" t="s">
        <v>34</v>
      </c>
      <c r="C136" t="s">
        <v>572</v>
      </c>
      <c r="D136">
        <v>108624</v>
      </c>
      <c r="E136" t="s">
        <v>573</v>
      </c>
      <c r="F136">
        <v>3.75</v>
      </c>
      <c r="G136">
        <v>0.63999998569488525</v>
      </c>
      <c r="H136">
        <v>28955</v>
      </c>
      <c r="I136">
        <v>4.880000114440918</v>
      </c>
      <c r="J136" t="s">
        <v>574</v>
      </c>
      <c r="K136">
        <v>111500</v>
      </c>
      <c r="L136">
        <v>108700</v>
      </c>
      <c r="M136">
        <v>-2.5099999999999998</v>
      </c>
      <c r="N136">
        <v>-1.18</v>
      </c>
      <c r="O136">
        <v>0.46</v>
      </c>
      <c r="P136">
        <v>-4.75</v>
      </c>
      <c r="Q136">
        <v>6.32</v>
      </c>
      <c r="R136">
        <v>1.38</v>
      </c>
      <c r="S136">
        <v>8.6300000000000008</v>
      </c>
      <c r="T136">
        <v>1.88</v>
      </c>
      <c r="U136">
        <v>2.64</v>
      </c>
      <c r="V136">
        <v>3.01</v>
      </c>
      <c r="W136">
        <v>3.8</v>
      </c>
      <c r="X136">
        <v>2.35</v>
      </c>
      <c r="Y136">
        <v>1.87</v>
      </c>
      <c r="Z136">
        <v>0.63</v>
      </c>
      <c r="AA136">
        <v>0.17</v>
      </c>
      <c r="AB136">
        <v>1.58</v>
      </c>
      <c r="AC136">
        <v>1.66</v>
      </c>
      <c r="AD136">
        <v>0.59</v>
      </c>
      <c r="AE136">
        <v>4.6100000000000003</v>
      </c>
      <c r="AF136">
        <v>1.54</v>
      </c>
      <c r="AG136" t="str">
        <f>HYPERLINK("https://finance.naver.com/item/fchart.naver?code=005830", "DB손해보험 차트보기")</f>
        <v>DB손해보험 차트보기</v>
      </c>
    </row>
    <row r="137" spans="1:33" x14ac:dyDescent="0.3">
      <c r="A137" t="s">
        <v>575</v>
      </c>
      <c r="B137" t="s">
        <v>55</v>
      </c>
      <c r="C137" t="s">
        <v>576</v>
      </c>
      <c r="D137">
        <v>136108.71</v>
      </c>
      <c r="E137" t="s">
        <v>577</v>
      </c>
      <c r="F137">
        <v>13.06</v>
      </c>
      <c r="G137">
        <v>0.79000002145767212</v>
      </c>
      <c r="H137">
        <v>539</v>
      </c>
      <c r="I137">
        <v>3.5499999523162842</v>
      </c>
      <c r="J137" t="s">
        <v>578</v>
      </c>
      <c r="K137">
        <v>8130</v>
      </c>
      <c r="L137">
        <v>7040</v>
      </c>
      <c r="M137">
        <v>-13.41</v>
      </c>
      <c r="N137">
        <v>-1.26</v>
      </c>
      <c r="O137">
        <v>0.71</v>
      </c>
      <c r="P137">
        <v>-7.48</v>
      </c>
      <c r="Q137">
        <v>0.66</v>
      </c>
      <c r="R137">
        <v>-1.82</v>
      </c>
      <c r="S137">
        <v>0.39</v>
      </c>
      <c r="T137">
        <v>0.66</v>
      </c>
      <c r="U137">
        <v>0.9</v>
      </c>
      <c r="V137">
        <v>2.06</v>
      </c>
      <c r="W137">
        <v>2.34</v>
      </c>
      <c r="X137">
        <v>0.92</v>
      </c>
      <c r="Y137">
        <v>0.59</v>
      </c>
      <c r="Z137">
        <v>1.91</v>
      </c>
      <c r="AA137">
        <v>0.79</v>
      </c>
      <c r="AB137">
        <v>3.63</v>
      </c>
      <c r="AC137">
        <v>0.28000000000000003</v>
      </c>
      <c r="AD137">
        <v>1.98</v>
      </c>
      <c r="AE137">
        <v>0.66</v>
      </c>
      <c r="AF137">
        <v>1.541666666666667</v>
      </c>
      <c r="AG137" t="str">
        <f>HYPERLINK("https://finance.naver.com/item/fchart.naver?code=091700", "파트론 차트보기")</f>
        <v>파트론 차트보기</v>
      </c>
    </row>
    <row r="138" spans="1:33" x14ac:dyDescent="0.3">
      <c r="A138" t="s">
        <v>579</v>
      </c>
      <c r="B138" t="s">
        <v>55</v>
      </c>
      <c r="C138" t="s">
        <v>580</v>
      </c>
      <c r="D138">
        <v>22484.240000000002</v>
      </c>
      <c r="E138" t="s">
        <v>581</v>
      </c>
      <c r="F138">
        <v>0</v>
      </c>
      <c r="G138">
        <v>1.190000057220459</v>
      </c>
      <c r="H138">
        <v>0</v>
      </c>
      <c r="I138">
        <v>0</v>
      </c>
      <c r="J138" t="s">
        <v>582</v>
      </c>
      <c r="K138">
        <v>570</v>
      </c>
      <c r="L138">
        <v>639</v>
      </c>
      <c r="M138">
        <v>12.11</v>
      </c>
      <c r="N138">
        <v>-3.33</v>
      </c>
      <c r="O138">
        <v>-5.44</v>
      </c>
      <c r="P138">
        <v>0</v>
      </c>
      <c r="Q138">
        <v>-1.81</v>
      </c>
      <c r="R138">
        <v>-2.23</v>
      </c>
      <c r="S138">
        <v>15.61</v>
      </c>
      <c r="T138">
        <v>2.31</v>
      </c>
      <c r="U138">
        <v>1.88</v>
      </c>
      <c r="V138">
        <v>3.63</v>
      </c>
      <c r="W138">
        <v>3.39</v>
      </c>
      <c r="X138">
        <v>4.04</v>
      </c>
      <c r="Y138">
        <v>4.04</v>
      </c>
      <c r="Z138">
        <v>1.44</v>
      </c>
      <c r="AA138">
        <v>2.89</v>
      </c>
      <c r="AB138">
        <v>0</v>
      </c>
      <c r="AC138">
        <v>0.53</v>
      </c>
      <c r="AD138">
        <v>0.55000000000000004</v>
      </c>
      <c r="AE138">
        <v>3.86</v>
      </c>
      <c r="AF138">
        <v>1.5449999999999999</v>
      </c>
      <c r="AG138" t="str">
        <f>HYPERLINK("https://finance.naver.com/item/fchart.naver?code=043710", "서울리거 차트보기")</f>
        <v>서울리거 차트보기</v>
      </c>
    </row>
    <row r="139" spans="1:33" x14ac:dyDescent="0.3">
      <c r="A139" t="s">
        <v>583</v>
      </c>
      <c r="B139" t="s">
        <v>55</v>
      </c>
      <c r="C139" t="s">
        <v>584</v>
      </c>
      <c r="D139">
        <v>2277.14</v>
      </c>
      <c r="E139" t="s">
        <v>585</v>
      </c>
      <c r="F139">
        <v>0</v>
      </c>
      <c r="G139">
        <v>0</v>
      </c>
      <c r="H139">
        <v>0</v>
      </c>
      <c r="I139">
        <v>0</v>
      </c>
      <c r="J139" t="s">
        <v>586</v>
      </c>
      <c r="K139">
        <v>2175</v>
      </c>
      <c r="L139">
        <v>2135</v>
      </c>
      <c r="M139">
        <v>-1.84</v>
      </c>
      <c r="N139">
        <v>0</v>
      </c>
      <c r="O139">
        <v>1.41</v>
      </c>
      <c r="P139">
        <v>-0.23</v>
      </c>
      <c r="Q139">
        <v>-2.5</v>
      </c>
      <c r="R139">
        <v>0.46</v>
      </c>
      <c r="S139">
        <v>0.69</v>
      </c>
      <c r="T139">
        <v>0.82</v>
      </c>
      <c r="U139">
        <v>0.54</v>
      </c>
      <c r="V139">
        <v>0.72</v>
      </c>
      <c r="W139">
        <v>0.77</v>
      </c>
      <c r="X139">
        <v>0.37</v>
      </c>
      <c r="Y139">
        <v>0.37</v>
      </c>
      <c r="Z139">
        <v>0</v>
      </c>
      <c r="AA139">
        <v>2.61</v>
      </c>
      <c r="AB139">
        <v>0.32</v>
      </c>
      <c r="AC139">
        <v>3.25</v>
      </c>
      <c r="AD139">
        <v>1.24</v>
      </c>
      <c r="AE139">
        <v>1.86</v>
      </c>
      <c r="AF139">
        <v>1.5466666666666671</v>
      </c>
      <c r="AG139" t="str">
        <f>HYPERLINK("https://finance.naver.com/item/fchart.naver?code=464440", "한국제13호스팩 차트보기")</f>
        <v>한국제13호스팩 차트보기</v>
      </c>
    </row>
    <row r="140" spans="1:33" x14ac:dyDescent="0.3">
      <c r="A140" t="s">
        <v>587</v>
      </c>
      <c r="B140" t="s">
        <v>34</v>
      </c>
      <c r="C140" t="s">
        <v>588</v>
      </c>
      <c r="D140">
        <v>71919.429999999993</v>
      </c>
      <c r="E140" t="s">
        <v>589</v>
      </c>
      <c r="F140">
        <v>404.29</v>
      </c>
      <c r="G140">
        <v>0.40000000596046448</v>
      </c>
      <c r="H140">
        <v>14</v>
      </c>
      <c r="I140">
        <v>7.2399997711181641</v>
      </c>
      <c r="J140" t="s">
        <v>590</v>
      </c>
      <c r="K140">
        <v>6260</v>
      </c>
      <c r="L140">
        <v>5660</v>
      </c>
      <c r="M140">
        <v>-9.58</v>
      </c>
      <c r="N140">
        <v>-0.7</v>
      </c>
      <c r="O140">
        <v>0</v>
      </c>
      <c r="P140">
        <v>-2.72</v>
      </c>
      <c r="Q140">
        <v>-2.17</v>
      </c>
      <c r="R140">
        <v>-2.76</v>
      </c>
      <c r="S140">
        <v>0.33</v>
      </c>
      <c r="T140">
        <v>0.28000000000000003</v>
      </c>
      <c r="U140">
        <v>0.44</v>
      </c>
      <c r="V140">
        <v>1.21</v>
      </c>
      <c r="W140">
        <v>2.4700000000000002</v>
      </c>
      <c r="X140">
        <v>0.83</v>
      </c>
      <c r="Y140">
        <v>0.97</v>
      </c>
      <c r="Z140">
        <v>2.5</v>
      </c>
      <c r="AA140">
        <v>0</v>
      </c>
      <c r="AB140">
        <v>2.25</v>
      </c>
      <c r="AC140">
        <v>0.88</v>
      </c>
      <c r="AD140">
        <v>3.33</v>
      </c>
      <c r="AE140">
        <v>0.34</v>
      </c>
      <c r="AF140">
        <v>1.55</v>
      </c>
      <c r="AG140" t="str">
        <f>HYPERLINK("https://finance.naver.com/item/fchart.naver?code=000480", "CR홀딩스 차트보기")</f>
        <v>CR홀딩스 차트보기</v>
      </c>
    </row>
    <row r="141" spans="1:33" x14ac:dyDescent="0.3">
      <c r="A141" t="s">
        <v>591</v>
      </c>
      <c r="B141" t="s">
        <v>55</v>
      </c>
      <c r="C141" t="s">
        <v>592</v>
      </c>
      <c r="D141">
        <v>1964774.95</v>
      </c>
      <c r="E141" t="s">
        <v>593</v>
      </c>
      <c r="F141">
        <v>0</v>
      </c>
      <c r="G141">
        <v>2.6700000762939449</v>
      </c>
      <c r="H141">
        <v>0</v>
      </c>
      <c r="I141">
        <v>0</v>
      </c>
      <c r="J141" t="s">
        <v>594</v>
      </c>
      <c r="K141">
        <v>4205</v>
      </c>
      <c r="L141">
        <v>2915</v>
      </c>
      <c r="M141">
        <v>-30.68</v>
      </c>
      <c r="N141">
        <v>-1.19</v>
      </c>
      <c r="O141">
        <v>3.88</v>
      </c>
      <c r="P141">
        <v>-6.55</v>
      </c>
      <c r="Q141">
        <v>-20.57</v>
      </c>
      <c r="R141">
        <v>1.55</v>
      </c>
      <c r="S141">
        <v>2.0299999999999998</v>
      </c>
      <c r="T141">
        <v>3.5</v>
      </c>
      <c r="U141">
        <v>3.95</v>
      </c>
      <c r="V141">
        <v>2.46</v>
      </c>
      <c r="W141">
        <v>4.97</v>
      </c>
      <c r="X141">
        <v>4.47</v>
      </c>
      <c r="Y141">
        <v>2.4500000000000002</v>
      </c>
      <c r="Z141">
        <v>0.34</v>
      </c>
      <c r="AA141">
        <v>0.98</v>
      </c>
      <c r="AB141">
        <v>2.66</v>
      </c>
      <c r="AC141">
        <v>4.1399999999999997</v>
      </c>
      <c r="AD141">
        <v>0.35</v>
      </c>
      <c r="AE141">
        <v>0.83</v>
      </c>
      <c r="AF141">
        <v>1.55</v>
      </c>
      <c r="AG141" t="str">
        <f>HYPERLINK("https://finance.naver.com/item/fchart.naver?code=214680", "디알텍 차트보기")</f>
        <v>디알텍 차트보기</v>
      </c>
    </row>
    <row r="142" spans="1:33" x14ac:dyDescent="0.3">
      <c r="A142" t="s">
        <v>595</v>
      </c>
      <c r="B142" t="s">
        <v>55</v>
      </c>
      <c r="C142" t="s">
        <v>596</v>
      </c>
      <c r="D142">
        <v>2157.5700000000002</v>
      </c>
      <c r="E142" t="s">
        <v>597</v>
      </c>
      <c r="F142">
        <v>0</v>
      </c>
      <c r="G142">
        <v>0</v>
      </c>
      <c r="H142">
        <v>0</v>
      </c>
      <c r="I142">
        <v>0</v>
      </c>
      <c r="J142" t="s">
        <v>598</v>
      </c>
      <c r="K142">
        <v>2175</v>
      </c>
      <c r="L142">
        <v>2115</v>
      </c>
      <c r="M142">
        <v>-2.76</v>
      </c>
      <c r="N142">
        <v>-0.47</v>
      </c>
      <c r="O142">
        <v>0.24</v>
      </c>
      <c r="P142">
        <v>-1.18</v>
      </c>
      <c r="Q142">
        <v>-1.62</v>
      </c>
      <c r="R142">
        <v>-1.1499999999999999</v>
      </c>
      <c r="S142">
        <v>1.39</v>
      </c>
      <c r="T142">
        <v>0.33</v>
      </c>
      <c r="U142">
        <v>0.49</v>
      </c>
      <c r="V142">
        <v>0.44</v>
      </c>
      <c r="W142">
        <v>0.99</v>
      </c>
      <c r="X142">
        <v>0.8</v>
      </c>
      <c r="Y142">
        <v>0.82</v>
      </c>
      <c r="Z142">
        <v>1.42</v>
      </c>
      <c r="AA142">
        <v>0.49</v>
      </c>
      <c r="AB142">
        <v>2.68</v>
      </c>
      <c r="AC142">
        <v>1.64</v>
      </c>
      <c r="AD142">
        <v>1.44</v>
      </c>
      <c r="AE142">
        <v>1.7</v>
      </c>
      <c r="AF142">
        <v>1.561666666666667</v>
      </c>
      <c r="AG142" t="str">
        <f>HYPERLINK("https://finance.naver.com/item/fchart.naver?code=455910", "에스케이증권제9호스팩 차트보기")</f>
        <v>에스케이증권제9호스팩 차트보기</v>
      </c>
    </row>
    <row r="143" spans="1:33" x14ac:dyDescent="0.3">
      <c r="A143" t="s">
        <v>599</v>
      </c>
      <c r="B143" t="s">
        <v>55</v>
      </c>
      <c r="C143" t="s">
        <v>600</v>
      </c>
      <c r="D143">
        <v>52793.67</v>
      </c>
      <c r="E143" t="s">
        <v>601</v>
      </c>
      <c r="F143">
        <v>12.35</v>
      </c>
      <c r="G143">
        <v>0.34000000357627869</v>
      </c>
      <c r="H143">
        <v>373</v>
      </c>
      <c r="I143">
        <v>8.0299997329711914</v>
      </c>
      <c r="J143" t="s">
        <v>602</v>
      </c>
      <c r="K143">
        <v>5120</v>
      </c>
      <c r="L143">
        <v>4605</v>
      </c>
      <c r="M143">
        <v>-10.06</v>
      </c>
      <c r="N143">
        <v>-0.11</v>
      </c>
      <c r="O143">
        <v>-0.21</v>
      </c>
      <c r="P143">
        <v>-5.08</v>
      </c>
      <c r="Q143">
        <v>2.46</v>
      </c>
      <c r="R143">
        <v>-2.16</v>
      </c>
      <c r="S143">
        <v>-0.71</v>
      </c>
      <c r="T143">
        <v>0.45</v>
      </c>
      <c r="U143">
        <v>1.0900000000000001</v>
      </c>
      <c r="V143">
        <v>1.35</v>
      </c>
      <c r="W143">
        <v>2.25</v>
      </c>
      <c r="X143">
        <v>0.7</v>
      </c>
      <c r="Y143">
        <v>0.7</v>
      </c>
      <c r="Z143">
        <v>0.24</v>
      </c>
      <c r="AA143">
        <v>0.19</v>
      </c>
      <c r="AB143">
        <v>3.76</v>
      </c>
      <c r="AC143">
        <v>1.0900000000000001</v>
      </c>
      <c r="AD143">
        <v>3.09</v>
      </c>
      <c r="AE143">
        <v>1.01</v>
      </c>
      <c r="AF143">
        <v>1.563333333333333</v>
      </c>
      <c r="AG143" t="str">
        <f>HYPERLINK("https://finance.naver.com/item/fchart.naver?code=067990", "도이치모터스 차트보기")</f>
        <v>도이치모터스 차트보기</v>
      </c>
    </row>
    <row r="144" spans="1:33" x14ac:dyDescent="0.3">
      <c r="A144" t="s">
        <v>603</v>
      </c>
      <c r="B144" t="s">
        <v>34</v>
      </c>
      <c r="C144" t="s">
        <v>604</v>
      </c>
      <c r="D144">
        <v>1076921.48</v>
      </c>
      <c r="E144" t="s">
        <v>605</v>
      </c>
      <c r="F144">
        <v>0</v>
      </c>
      <c r="G144">
        <v>0.54000002145767212</v>
      </c>
      <c r="H144">
        <v>0</v>
      </c>
      <c r="I144">
        <v>0</v>
      </c>
      <c r="J144" t="s">
        <v>606</v>
      </c>
      <c r="K144">
        <v>10670</v>
      </c>
      <c r="L144">
        <v>10020</v>
      </c>
      <c r="M144">
        <v>-6.09</v>
      </c>
      <c r="N144">
        <v>-3.19</v>
      </c>
      <c r="O144">
        <v>0.66</v>
      </c>
      <c r="P144">
        <v>-2.84</v>
      </c>
      <c r="Q144">
        <v>-3.51</v>
      </c>
      <c r="R144">
        <v>-2.68</v>
      </c>
      <c r="S144">
        <v>11.04</v>
      </c>
      <c r="T144">
        <v>1.1499999999999999</v>
      </c>
      <c r="U144">
        <v>1.91</v>
      </c>
      <c r="V144">
        <v>3.61</v>
      </c>
      <c r="W144">
        <v>3.24</v>
      </c>
      <c r="X144">
        <v>2.29</v>
      </c>
      <c r="Y144">
        <v>3.43</v>
      </c>
      <c r="Z144">
        <v>2.77</v>
      </c>
      <c r="AA144">
        <v>0.35</v>
      </c>
      <c r="AB144">
        <v>0.79</v>
      </c>
      <c r="AC144">
        <v>1.08</v>
      </c>
      <c r="AD144">
        <v>1.17</v>
      </c>
      <c r="AE144">
        <v>3.22</v>
      </c>
      <c r="AF144">
        <v>1.563333333333333</v>
      </c>
      <c r="AG144" t="str">
        <f>HYPERLINK("https://finance.naver.com/item/fchart.naver?code=034220", "LG디스플레이 차트보기")</f>
        <v>LG디스플레이 차트보기</v>
      </c>
    </row>
    <row r="145" spans="1:33" x14ac:dyDescent="0.3">
      <c r="A145" t="s">
        <v>607</v>
      </c>
      <c r="B145" t="s">
        <v>34</v>
      </c>
      <c r="C145" t="s">
        <v>608</v>
      </c>
      <c r="D145">
        <v>46055.9</v>
      </c>
      <c r="E145" t="s">
        <v>609</v>
      </c>
      <c r="F145">
        <v>10.4</v>
      </c>
      <c r="G145">
        <v>1.549999952316284</v>
      </c>
      <c r="H145">
        <v>654</v>
      </c>
      <c r="I145">
        <v>3.6800000667572021</v>
      </c>
      <c r="J145" t="s">
        <v>610</v>
      </c>
      <c r="K145">
        <v>6430</v>
      </c>
      <c r="L145">
        <v>6800</v>
      </c>
      <c r="M145">
        <v>5.75</v>
      </c>
      <c r="N145">
        <v>0.44</v>
      </c>
      <c r="O145">
        <v>1.47</v>
      </c>
      <c r="P145">
        <v>4.55</v>
      </c>
      <c r="Q145">
        <v>-0.78</v>
      </c>
      <c r="R145">
        <v>-3.21</v>
      </c>
      <c r="S145">
        <v>-2.0499999999999998</v>
      </c>
      <c r="T145">
        <v>1.18</v>
      </c>
      <c r="U145">
        <v>1.31</v>
      </c>
      <c r="V145">
        <v>1.21</v>
      </c>
      <c r="W145">
        <v>2.2999999999999998</v>
      </c>
      <c r="X145">
        <v>2.14</v>
      </c>
      <c r="Y145">
        <v>0.89</v>
      </c>
      <c r="Z145">
        <v>0.37</v>
      </c>
      <c r="AA145">
        <v>1.1200000000000001</v>
      </c>
      <c r="AB145">
        <v>3.76</v>
      </c>
      <c r="AC145">
        <v>0.34</v>
      </c>
      <c r="AD145">
        <v>1.5</v>
      </c>
      <c r="AE145">
        <v>2.2999999999999998</v>
      </c>
      <c r="AF145">
        <v>1.5649999999999999</v>
      </c>
      <c r="AG145" t="str">
        <f>HYPERLINK("https://finance.naver.com/item/fchart.naver?code=003780", "진양산업 차트보기")</f>
        <v>진양산업 차트보기</v>
      </c>
    </row>
    <row r="146" spans="1:33" x14ac:dyDescent="0.3">
      <c r="A146" t="s">
        <v>611</v>
      </c>
      <c r="B146" t="s">
        <v>34</v>
      </c>
      <c r="C146" t="s">
        <v>612</v>
      </c>
      <c r="D146">
        <v>144078.29</v>
      </c>
      <c r="E146" t="s">
        <v>613</v>
      </c>
      <c r="F146">
        <v>2.71</v>
      </c>
      <c r="G146">
        <v>0.34000000357627869</v>
      </c>
      <c r="H146">
        <v>1059</v>
      </c>
      <c r="I146">
        <v>7.6500000953674316</v>
      </c>
      <c r="J146" t="s">
        <v>614</v>
      </c>
      <c r="K146">
        <v>3095</v>
      </c>
      <c r="L146">
        <v>2875</v>
      </c>
      <c r="M146">
        <v>-7.11</v>
      </c>
      <c r="N146">
        <v>-1.03</v>
      </c>
      <c r="O146">
        <v>0</v>
      </c>
      <c r="P146">
        <v>0.17</v>
      </c>
      <c r="Q146">
        <v>-2.78</v>
      </c>
      <c r="R146">
        <v>0.66</v>
      </c>
      <c r="S146">
        <v>-0.33</v>
      </c>
      <c r="T146">
        <v>0.24</v>
      </c>
      <c r="U146">
        <v>0.41</v>
      </c>
      <c r="V146">
        <v>0.72</v>
      </c>
      <c r="W146">
        <v>0.96</v>
      </c>
      <c r="X146">
        <v>0.53</v>
      </c>
      <c r="Y146">
        <v>0.46</v>
      </c>
      <c r="Z146">
        <v>4.29</v>
      </c>
      <c r="AA146">
        <v>0</v>
      </c>
      <c r="AB146">
        <v>0.24</v>
      </c>
      <c r="AC146">
        <v>2.9</v>
      </c>
      <c r="AD146">
        <v>1.25</v>
      </c>
      <c r="AE146">
        <v>0.72</v>
      </c>
      <c r="AF146">
        <v>1.5666666666666671</v>
      </c>
      <c r="AG146" t="str">
        <f>HYPERLINK("https://finance.naver.com/item/fchart.naver?code=123890", "한국자산신탁 차트보기")</f>
        <v>한국자산신탁 차트보기</v>
      </c>
    </row>
    <row r="147" spans="1:33" x14ac:dyDescent="0.3">
      <c r="A147" t="s">
        <v>615</v>
      </c>
      <c r="B147" t="s">
        <v>34</v>
      </c>
      <c r="C147" t="s">
        <v>616</v>
      </c>
      <c r="D147">
        <v>529.86</v>
      </c>
      <c r="E147" t="s">
        <v>617</v>
      </c>
      <c r="F147">
        <v>0</v>
      </c>
      <c r="G147">
        <v>0</v>
      </c>
      <c r="H147">
        <v>0</v>
      </c>
      <c r="I147">
        <v>0.20000000298023221</v>
      </c>
      <c r="J147" t="s">
        <v>618</v>
      </c>
      <c r="K147">
        <v>6420</v>
      </c>
      <c r="L147">
        <v>4885</v>
      </c>
      <c r="M147">
        <v>-23.91</v>
      </c>
      <c r="N147">
        <v>-1.01</v>
      </c>
      <c r="O147">
        <v>-3.22</v>
      </c>
      <c r="P147">
        <v>-3.04</v>
      </c>
      <c r="Q147">
        <v>-8.59</v>
      </c>
      <c r="R147">
        <v>-7.99</v>
      </c>
      <c r="S147">
        <v>0.82</v>
      </c>
      <c r="T147">
        <v>1.41</v>
      </c>
      <c r="U147">
        <v>4.78</v>
      </c>
      <c r="V147">
        <v>3.58</v>
      </c>
      <c r="W147">
        <v>2.88</v>
      </c>
      <c r="X147">
        <v>2.63</v>
      </c>
      <c r="Y147">
        <v>0.72</v>
      </c>
      <c r="Z147">
        <v>0.72</v>
      </c>
      <c r="AA147">
        <v>0.67</v>
      </c>
      <c r="AB147">
        <v>0.85</v>
      </c>
      <c r="AC147">
        <v>2.98</v>
      </c>
      <c r="AD147">
        <v>3.04</v>
      </c>
      <c r="AE147">
        <v>1.1399999999999999</v>
      </c>
      <c r="AF147">
        <v>1.5666666666666671</v>
      </c>
      <c r="AG147" t="str">
        <f>HYPERLINK("https://finance.naver.com/item/fchart.naver?code=014915", "성문전자우 차트보기")</f>
        <v>성문전자우 차트보기</v>
      </c>
    </row>
    <row r="148" spans="1:33" x14ac:dyDescent="0.3">
      <c r="A148" t="s">
        <v>619</v>
      </c>
      <c r="B148" t="s">
        <v>55</v>
      </c>
      <c r="C148" t="s">
        <v>620</v>
      </c>
      <c r="D148">
        <v>430000.33</v>
      </c>
      <c r="E148" t="s">
        <v>621</v>
      </c>
      <c r="F148">
        <v>31.14</v>
      </c>
      <c r="G148">
        <v>2.2899999618530269</v>
      </c>
      <c r="H148">
        <v>193</v>
      </c>
      <c r="I148">
        <v>0</v>
      </c>
      <c r="J148" t="s">
        <v>622</v>
      </c>
      <c r="K148">
        <v>4615</v>
      </c>
      <c r="L148">
        <v>6010</v>
      </c>
      <c r="M148">
        <v>30.23</v>
      </c>
      <c r="N148">
        <v>6.75</v>
      </c>
      <c r="O148">
        <v>-8.2799999999999994</v>
      </c>
      <c r="P148">
        <v>8.86</v>
      </c>
      <c r="Q148">
        <v>5.79</v>
      </c>
      <c r="R148">
        <v>-0.78</v>
      </c>
      <c r="S148">
        <v>4.21</v>
      </c>
      <c r="T148">
        <v>3.48</v>
      </c>
      <c r="U148">
        <v>3.86</v>
      </c>
      <c r="V148">
        <v>3.66</v>
      </c>
      <c r="W148">
        <v>4.45</v>
      </c>
      <c r="X148">
        <v>3.42</v>
      </c>
      <c r="Y148">
        <v>3.06</v>
      </c>
      <c r="Z148">
        <v>1.94</v>
      </c>
      <c r="AA148">
        <v>2.15</v>
      </c>
      <c r="AB148">
        <v>2.42</v>
      </c>
      <c r="AC148">
        <v>1.3</v>
      </c>
      <c r="AD148">
        <v>0.23</v>
      </c>
      <c r="AE148">
        <v>1.38</v>
      </c>
      <c r="AF148">
        <v>1.57</v>
      </c>
      <c r="AG148" t="str">
        <f>HYPERLINK("https://finance.naver.com/item/fchart.naver?code=226400", "오스테오닉 차트보기")</f>
        <v>오스테오닉 차트보기</v>
      </c>
    </row>
    <row r="149" spans="1:33" x14ac:dyDescent="0.3">
      <c r="A149" t="s">
        <v>623</v>
      </c>
      <c r="B149" t="s">
        <v>55</v>
      </c>
      <c r="C149" t="s">
        <v>624</v>
      </c>
      <c r="D149">
        <v>710400.33</v>
      </c>
      <c r="E149" t="s">
        <v>625</v>
      </c>
      <c r="F149">
        <v>61.86</v>
      </c>
      <c r="G149">
        <v>1.700000047683716</v>
      </c>
      <c r="H149">
        <v>21</v>
      </c>
      <c r="I149">
        <v>0</v>
      </c>
      <c r="J149" t="s">
        <v>626</v>
      </c>
      <c r="K149">
        <v>1180</v>
      </c>
      <c r="L149">
        <v>1299</v>
      </c>
      <c r="M149">
        <v>10.08</v>
      </c>
      <c r="N149">
        <v>-4.7699999999999996</v>
      </c>
      <c r="O149">
        <v>-0.3</v>
      </c>
      <c r="P149">
        <v>-2.38</v>
      </c>
      <c r="Q149">
        <v>-9.82</v>
      </c>
      <c r="R149">
        <v>-3.5</v>
      </c>
      <c r="S149">
        <v>28.81</v>
      </c>
      <c r="T149">
        <v>2.12</v>
      </c>
      <c r="U149">
        <v>0.91</v>
      </c>
      <c r="V149">
        <v>2.3199999999999998</v>
      </c>
      <c r="W149">
        <v>3.45</v>
      </c>
      <c r="X149">
        <v>3.51</v>
      </c>
      <c r="Y149">
        <v>14.72</v>
      </c>
      <c r="Z149">
        <v>2.25</v>
      </c>
      <c r="AA149">
        <v>0.33</v>
      </c>
      <c r="AB149">
        <v>1.03</v>
      </c>
      <c r="AC149">
        <v>2.85</v>
      </c>
      <c r="AD149">
        <v>1</v>
      </c>
      <c r="AE149">
        <v>1.96</v>
      </c>
      <c r="AF149">
        <v>1.57</v>
      </c>
      <c r="AG149" t="str">
        <f>HYPERLINK("https://finance.naver.com/item/fchart.naver?code=056090", "이노시스 차트보기")</f>
        <v>이노시스 차트보기</v>
      </c>
    </row>
    <row r="150" spans="1:33" x14ac:dyDescent="0.3">
      <c r="A150" t="s">
        <v>627</v>
      </c>
      <c r="B150" t="s">
        <v>34</v>
      </c>
      <c r="C150" t="s">
        <v>628</v>
      </c>
      <c r="D150">
        <v>579330.38</v>
      </c>
      <c r="E150" t="s">
        <v>629</v>
      </c>
      <c r="F150">
        <v>3265</v>
      </c>
      <c r="G150">
        <v>1.200000047683716</v>
      </c>
      <c r="H150">
        <v>1</v>
      </c>
      <c r="I150">
        <v>0.31000000238418579</v>
      </c>
      <c r="J150" t="s">
        <v>630</v>
      </c>
      <c r="K150">
        <v>2600</v>
      </c>
      <c r="L150">
        <v>3265</v>
      </c>
      <c r="M150">
        <v>25.58</v>
      </c>
      <c r="N150">
        <v>-3.69</v>
      </c>
      <c r="O150">
        <v>13.78</v>
      </c>
      <c r="P150">
        <v>2.16</v>
      </c>
      <c r="Q150">
        <v>-0.32</v>
      </c>
      <c r="R150">
        <v>18.64</v>
      </c>
      <c r="S150">
        <v>1.55</v>
      </c>
      <c r="T150">
        <v>1.84</v>
      </c>
      <c r="U150">
        <v>3.38</v>
      </c>
      <c r="V150">
        <v>3.87</v>
      </c>
      <c r="W150">
        <v>3.03</v>
      </c>
      <c r="X150">
        <v>8</v>
      </c>
      <c r="Y150">
        <v>4.5199999999999996</v>
      </c>
      <c r="Z150">
        <v>2.0099999999999998</v>
      </c>
      <c r="AA150">
        <v>4.08</v>
      </c>
      <c r="AB150">
        <v>0.56000000000000005</v>
      </c>
      <c r="AC150">
        <v>0.11</v>
      </c>
      <c r="AD150">
        <v>2.33</v>
      </c>
      <c r="AE150">
        <v>0.34</v>
      </c>
      <c r="AF150">
        <v>1.571666666666667</v>
      </c>
      <c r="AG150" t="str">
        <f>HYPERLINK("https://finance.naver.com/item/fchart.naver?code=004100", "태양금속 차트보기")</f>
        <v>태양금속 차트보기</v>
      </c>
    </row>
    <row r="151" spans="1:33" x14ac:dyDescent="0.3">
      <c r="A151" t="s">
        <v>631</v>
      </c>
      <c r="B151" t="s">
        <v>34</v>
      </c>
      <c r="C151" t="s">
        <v>632</v>
      </c>
      <c r="D151">
        <v>34928.14</v>
      </c>
      <c r="E151" t="s">
        <v>633</v>
      </c>
      <c r="F151">
        <v>4.66</v>
      </c>
      <c r="G151">
        <v>0.31999999284744263</v>
      </c>
      <c r="H151">
        <v>726</v>
      </c>
      <c r="I151">
        <v>3.25</v>
      </c>
      <c r="J151" t="s">
        <v>634</v>
      </c>
      <c r="K151">
        <v>3995</v>
      </c>
      <c r="L151">
        <v>3380</v>
      </c>
      <c r="M151">
        <v>-15.39</v>
      </c>
      <c r="N151">
        <v>-0.15</v>
      </c>
      <c r="O151">
        <v>-1.02</v>
      </c>
      <c r="P151">
        <v>-2.41</v>
      </c>
      <c r="Q151">
        <v>-3.95</v>
      </c>
      <c r="R151">
        <v>0.41</v>
      </c>
      <c r="S151">
        <v>-5.12</v>
      </c>
      <c r="T151">
        <v>0.55000000000000004</v>
      </c>
      <c r="U151">
        <v>0.66</v>
      </c>
      <c r="V151">
        <v>1.29</v>
      </c>
      <c r="W151">
        <v>2.56</v>
      </c>
      <c r="X151">
        <v>3.97</v>
      </c>
      <c r="Y151">
        <v>1.25</v>
      </c>
      <c r="Z151">
        <v>0.27</v>
      </c>
      <c r="AA151">
        <v>1.55</v>
      </c>
      <c r="AB151">
        <v>1.87</v>
      </c>
      <c r="AC151">
        <v>1.54</v>
      </c>
      <c r="AD151">
        <v>0.1</v>
      </c>
      <c r="AE151">
        <v>4.0999999999999996</v>
      </c>
      <c r="AF151">
        <v>1.571666666666667</v>
      </c>
      <c r="AG151" t="str">
        <f>HYPERLINK("https://finance.naver.com/item/fchart.naver?code=041650", "상신브레이크 차트보기")</f>
        <v>상신브레이크 차트보기</v>
      </c>
    </row>
    <row r="152" spans="1:33" x14ac:dyDescent="0.3">
      <c r="A152" t="s">
        <v>635</v>
      </c>
      <c r="B152" t="s">
        <v>55</v>
      </c>
      <c r="C152" t="s">
        <v>636</v>
      </c>
      <c r="D152">
        <v>608239.18999999994</v>
      </c>
      <c r="E152" t="s">
        <v>637</v>
      </c>
      <c r="F152">
        <v>0</v>
      </c>
      <c r="G152">
        <v>10.86999988555908</v>
      </c>
      <c r="H152">
        <v>0</v>
      </c>
      <c r="I152">
        <v>0</v>
      </c>
      <c r="J152" t="s">
        <v>638</v>
      </c>
      <c r="K152">
        <v>216000</v>
      </c>
      <c r="L152">
        <v>152700</v>
      </c>
      <c r="M152">
        <v>-29.31</v>
      </c>
      <c r="N152">
        <v>-10.02</v>
      </c>
      <c r="O152">
        <v>-10.31</v>
      </c>
      <c r="P152">
        <v>1.49</v>
      </c>
      <c r="Q152">
        <v>-9.08</v>
      </c>
      <c r="R152">
        <v>-4.5599999999999996</v>
      </c>
      <c r="S152">
        <v>-2.66</v>
      </c>
      <c r="T152">
        <v>4.95</v>
      </c>
      <c r="U152">
        <v>3.46</v>
      </c>
      <c r="V152">
        <v>3.99</v>
      </c>
      <c r="W152">
        <v>4.54</v>
      </c>
      <c r="X152">
        <v>3.57</v>
      </c>
      <c r="Y152">
        <v>3.36</v>
      </c>
      <c r="Z152">
        <v>2.02</v>
      </c>
      <c r="AA152">
        <v>2.98</v>
      </c>
      <c r="AB152">
        <v>0.37</v>
      </c>
      <c r="AC152">
        <v>2</v>
      </c>
      <c r="AD152">
        <v>1.28</v>
      </c>
      <c r="AE152">
        <v>0.79</v>
      </c>
      <c r="AF152">
        <v>1.573333333333333</v>
      </c>
      <c r="AG152" t="str">
        <f>HYPERLINK("https://finance.naver.com/item/fchart.naver?code=247540", "에코프로비엠 차트보기")</f>
        <v>에코프로비엠 차트보기</v>
      </c>
    </row>
    <row r="153" spans="1:33" x14ac:dyDescent="0.3">
      <c r="A153" t="s">
        <v>639</v>
      </c>
      <c r="B153" t="s">
        <v>55</v>
      </c>
      <c r="C153" t="s">
        <v>640</v>
      </c>
      <c r="D153">
        <v>621673.71</v>
      </c>
      <c r="E153" t="s">
        <v>641</v>
      </c>
      <c r="F153">
        <v>11.96</v>
      </c>
      <c r="G153">
        <v>1.279999971389771</v>
      </c>
      <c r="H153">
        <v>428</v>
      </c>
      <c r="I153">
        <v>2.339999914169312</v>
      </c>
      <c r="J153" t="s">
        <v>642</v>
      </c>
      <c r="K153">
        <v>6490</v>
      </c>
      <c r="L153">
        <v>5120</v>
      </c>
      <c r="M153">
        <v>-21.11</v>
      </c>
      <c r="N153">
        <v>-1.92</v>
      </c>
      <c r="O153">
        <v>-3.57</v>
      </c>
      <c r="P153">
        <v>-3.7</v>
      </c>
      <c r="Q153">
        <v>-19.04</v>
      </c>
      <c r="R153">
        <v>3.65</v>
      </c>
      <c r="S153">
        <v>1.02</v>
      </c>
      <c r="T153">
        <v>2.87</v>
      </c>
      <c r="U153">
        <v>1.49</v>
      </c>
      <c r="V153">
        <v>2.13</v>
      </c>
      <c r="W153">
        <v>5.3</v>
      </c>
      <c r="X153">
        <v>5.55</v>
      </c>
      <c r="Y153">
        <v>2.37</v>
      </c>
      <c r="Z153">
        <v>0.67</v>
      </c>
      <c r="AA153">
        <v>2.4</v>
      </c>
      <c r="AB153">
        <v>1.74</v>
      </c>
      <c r="AC153">
        <v>3.59</v>
      </c>
      <c r="AD153">
        <v>0.66</v>
      </c>
      <c r="AE153">
        <v>0.43</v>
      </c>
      <c r="AF153">
        <v>1.5816666666666661</v>
      </c>
      <c r="AG153" t="str">
        <f>HYPERLINK("https://finance.naver.com/item/fchart.naver?code=006620", "동구바이오제약 차트보기")</f>
        <v>동구바이오제약 차트보기</v>
      </c>
    </row>
    <row r="154" spans="1:33" x14ac:dyDescent="0.3">
      <c r="A154" t="s">
        <v>643</v>
      </c>
      <c r="B154" t="s">
        <v>55</v>
      </c>
      <c r="C154" t="s">
        <v>644</v>
      </c>
      <c r="D154">
        <v>614023.56999999995</v>
      </c>
      <c r="E154" t="s">
        <v>645</v>
      </c>
      <c r="F154">
        <v>7.73</v>
      </c>
      <c r="G154">
        <v>1.9099999666213989</v>
      </c>
      <c r="H154">
        <v>455</v>
      </c>
      <c r="I154">
        <v>2.839999914169312</v>
      </c>
      <c r="J154" t="s">
        <v>646</v>
      </c>
      <c r="K154">
        <v>4175</v>
      </c>
      <c r="L154">
        <v>3515</v>
      </c>
      <c r="M154">
        <v>-15.81</v>
      </c>
      <c r="N154">
        <v>0.14000000000000001</v>
      </c>
      <c r="O154">
        <v>-4.4800000000000004</v>
      </c>
      <c r="P154">
        <v>-3.18</v>
      </c>
      <c r="Q154">
        <v>-13.97</v>
      </c>
      <c r="R154">
        <v>0.56000000000000005</v>
      </c>
      <c r="S154">
        <v>4.09</v>
      </c>
      <c r="T154">
        <v>1.68</v>
      </c>
      <c r="U154">
        <v>1.82</v>
      </c>
      <c r="V154">
        <v>2.09</v>
      </c>
      <c r="W154">
        <v>3.72</v>
      </c>
      <c r="X154">
        <v>2.2000000000000002</v>
      </c>
      <c r="Y154">
        <v>2.87</v>
      </c>
      <c r="Z154">
        <v>0.08</v>
      </c>
      <c r="AA154">
        <v>2.46</v>
      </c>
      <c r="AB154">
        <v>1.52</v>
      </c>
      <c r="AC154">
        <v>3.76</v>
      </c>
      <c r="AD154">
        <v>0.25</v>
      </c>
      <c r="AE154">
        <v>1.43</v>
      </c>
      <c r="AF154">
        <v>1.583333333333333</v>
      </c>
      <c r="AG154" t="str">
        <f>HYPERLINK("https://finance.naver.com/item/fchart.naver?code=353810", "이지바이오 차트보기")</f>
        <v>이지바이오 차트보기</v>
      </c>
    </row>
    <row r="155" spans="1:33" x14ac:dyDescent="0.3">
      <c r="A155" t="s">
        <v>647</v>
      </c>
      <c r="B155" t="s">
        <v>55</v>
      </c>
      <c r="C155" t="s">
        <v>648</v>
      </c>
      <c r="D155">
        <v>70668.52</v>
      </c>
      <c r="E155" t="s">
        <v>649</v>
      </c>
      <c r="F155">
        <v>0</v>
      </c>
      <c r="G155">
        <v>1.8999999761581421</v>
      </c>
      <c r="H155">
        <v>0</v>
      </c>
      <c r="I155">
        <v>0</v>
      </c>
      <c r="J155" t="s">
        <v>650</v>
      </c>
      <c r="K155">
        <v>3720</v>
      </c>
      <c r="L155">
        <v>3695</v>
      </c>
      <c r="M155">
        <v>-0.67</v>
      </c>
      <c r="N155">
        <v>-3.27</v>
      </c>
      <c r="O155">
        <v>-5.76</v>
      </c>
      <c r="P155">
        <v>-12.28</v>
      </c>
      <c r="Q155">
        <v>34.54</v>
      </c>
      <c r="R155">
        <v>1.88</v>
      </c>
      <c r="S155">
        <v>-2.11</v>
      </c>
      <c r="T155">
        <v>2.37</v>
      </c>
      <c r="U155">
        <v>2.5299999999999998</v>
      </c>
      <c r="V155">
        <v>6.99</v>
      </c>
      <c r="W155">
        <v>13.37</v>
      </c>
      <c r="X155">
        <v>2.48</v>
      </c>
      <c r="Y155">
        <v>2.8</v>
      </c>
      <c r="Z155">
        <v>1.38</v>
      </c>
      <c r="AA155">
        <v>2.2799999999999998</v>
      </c>
      <c r="AB155">
        <v>1.76</v>
      </c>
      <c r="AC155">
        <v>2.58</v>
      </c>
      <c r="AD155">
        <v>0.76</v>
      </c>
      <c r="AE155">
        <v>0.75</v>
      </c>
      <c r="AF155">
        <v>1.585</v>
      </c>
      <c r="AG155" t="str">
        <f>HYPERLINK("https://finance.naver.com/item/fchart.naver?code=331920", "셀레믹스 차트보기")</f>
        <v>셀레믹스 차트보기</v>
      </c>
    </row>
    <row r="156" spans="1:33" x14ac:dyDescent="0.3">
      <c r="A156" t="s">
        <v>651</v>
      </c>
      <c r="B156" t="s">
        <v>34</v>
      </c>
      <c r="C156" t="s">
        <v>652</v>
      </c>
      <c r="D156">
        <v>10036</v>
      </c>
      <c r="E156" t="s">
        <v>653</v>
      </c>
      <c r="F156">
        <v>3.2</v>
      </c>
      <c r="G156">
        <v>0.34999999403953552</v>
      </c>
      <c r="H156">
        <v>3307</v>
      </c>
      <c r="I156">
        <v>4.7199997901916504</v>
      </c>
      <c r="J156" t="s">
        <v>654</v>
      </c>
      <c r="K156">
        <v>11270</v>
      </c>
      <c r="L156">
        <v>10590</v>
      </c>
      <c r="M156">
        <v>-6.03</v>
      </c>
      <c r="N156">
        <v>0.09</v>
      </c>
      <c r="O156">
        <v>0.67</v>
      </c>
      <c r="P156">
        <v>-2.5299999999999998</v>
      </c>
      <c r="Q156">
        <v>-2.81</v>
      </c>
      <c r="R156">
        <v>1.19</v>
      </c>
      <c r="S156">
        <v>0.27</v>
      </c>
      <c r="T156">
        <v>1.34</v>
      </c>
      <c r="U156">
        <v>0.55000000000000004</v>
      </c>
      <c r="V156">
        <v>0.73</v>
      </c>
      <c r="W156">
        <v>1.08</v>
      </c>
      <c r="X156">
        <v>0.66</v>
      </c>
      <c r="Y156">
        <v>0.7</v>
      </c>
      <c r="Z156">
        <v>7.0000000000000007E-2</v>
      </c>
      <c r="AA156">
        <v>1.22</v>
      </c>
      <c r="AB156">
        <v>3.47</v>
      </c>
      <c r="AC156">
        <v>2.6</v>
      </c>
      <c r="AD156">
        <v>1.8</v>
      </c>
      <c r="AE156">
        <v>0.39</v>
      </c>
      <c r="AF156">
        <v>1.591666666666667</v>
      </c>
      <c r="AG156" t="str">
        <f>HYPERLINK("https://finance.naver.com/item/fchart.naver?code=227840", "현대코퍼레이션홀딩스 차트보기")</f>
        <v>현대코퍼레이션홀딩스 차트보기</v>
      </c>
    </row>
    <row r="157" spans="1:33" x14ac:dyDescent="0.3">
      <c r="A157" t="s">
        <v>655</v>
      </c>
      <c r="B157" t="s">
        <v>34</v>
      </c>
      <c r="C157" t="s">
        <v>656</v>
      </c>
      <c r="D157">
        <v>15813.52</v>
      </c>
      <c r="E157" t="s">
        <v>657</v>
      </c>
      <c r="F157">
        <v>0</v>
      </c>
      <c r="G157">
        <v>5.6399998664855957</v>
      </c>
      <c r="H157">
        <v>0</v>
      </c>
      <c r="I157">
        <v>0</v>
      </c>
      <c r="J157" t="s">
        <v>658</v>
      </c>
      <c r="K157">
        <v>13980</v>
      </c>
      <c r="L157">
        <v>14500</v>
      </c>
      <c r="M157">
        <v>3.72</v>
      </c>
      <c r="N157">
        <v>-3.01</v>
      </c>
      <c r="O157">
        <v>3.65</v>
      </c>
      <c r="P157">
        <v>2.5499999999999998</v>
      </c>
      <c r="Q157">
        <v>1.44</v>
      </c>
      <c r="R157">
        <v>-3.67</v>
      </c>
      <c r="S157">
        <v>-6.71</v>
      </c>
      <c r="T157">
        <v>3.23</v>
      </c>
      <c r="U157">
        <v>3.5</v>
      </c>
      <c r="V157">
        <v>2.6</v>
      </c>
      <c r="W157">
        <v>5.78</v>
      </c>
      <c r="X157">
        <v>1.07</v>
      </c>
      <c r="Y157">
        <v>2.2799999999999998</v>
      </c>
      <c r="Z157">
        <v>0.93</v>
      </c>
      <c r="AA157">
        <v>1.04</v>
      </c>
      <c r="AB157">
        <v>0.98</v>
      </c>
      <c r="AC157">
        <v>0.25</v>
      </c>
      <c r="AD157">
        <v>3.43</v>
      </c>
      <c r="AE157">
        <v>2.94</v>
      </c>
      <c r="AF157">
        <v>1.595</v>
      </c>
      <c r="AG157" t="str">
        <f>HYPERLINK("https://finance.naver.com/item/fchart.naver?code=008500", "일정실업 차트보기")</f>
        <v>일정실업 차트보기</v>
      </c>
    </row>
    <row r="158" spans="1:33" x14ac:dyDescent="0.3">
      <c r="A158" t="s">
        <v>659</v>
      </c>
      <c r="B158" t="s">
        <v>34</v>
      </c>
      <c r="C158" t="s">
        <v>660</v>
      </c>
      <c r="D158">
        <v>423449.19</v>
      </c>
      <c r="E158" t="s">
        <v>661</v>
      </c>
      <c r="F158">
        <v>6.36</v>
      </c>
      <c r="G158">
        <v>0.47999998927116388</v>
      </c>
      <c r="H158">
        <v>5904</v>
      </c>
      <c r="I158">
        <v>3.4600000381469731</v>
      </c>
      <c r="J158" t="s">
        <v>662</v>
      </c>
      <c r="K158">
        <v>44500</v>
      </c>
      <c r="L158">
        <v>37550</v>
      </c>
      <c r="M158">
        <v>-15.62</v>
      </c>
      <c r="N158">
        <v>6.68</v>
      </c>
      <c r="O158">
        <v>-8.67</v>
      </c>
      <c r="P158">
        <v>-2.0099999999999998</v>
      </c>
      <c r="Q158">
        <v>-0.69</v>
      </c>
      <c r="R158">
        <v>-0.56000000000000005</v>
      </c>
      <c r="S158">
        <v>2.4900000000000002</v>
      </c>
      <c r="T158">
        <v>3.74</v>
      </c>
      <c r="U158">
        <v>2.02</v>
      </c>
      <c r="V158">
        <v>1.85</v>
      </c>
      <c r="W158">
        <v>3.62</v>
      </c>
      <c r="X158">
        <v>1.75</v>
      </c>
      <c r="Y158">
        <v>1.32</v>
      </c>
      <c r="Z158">
        <v>1.79</v>
      </c>
      <c r="AA158">
        <v>4.29</v>
      </c>
      <c r="AB158">
        <v>1.0900000000000001</v>
      </c>
      <c r="AC158">
        <v>0.19</v>
      </c>
      <c r="AD158">
        <v>0.32</v>
      </c>
      <c r="AE158">
        <v>1.89</v>
      </c>
      <c r="AF158">
        <v>1.595</v>
      </c>
      <c r="AG158" t="str">
        <f>HYPERLINK("https://finance.naver.com/item/fchart.naver?code=161390", "한국타이어앤테크놀로지 차트보기")</f>
        <v>한국타이어앤테크놀로지 차트보기</v>
      </c>
    </row>
    <row r="159" spans="1:33" x14ac:dyDescent="0.3">
      <c r="A159" t="s">
        <v>663</v>
      </c>
      <c r="B159" t="s">
        <v>34</v>
      </c>
      <c r="C159" t="s">
        <v>664</v>
      </c>
      <c r="D159">
        <v>15072.62</v>
      </c>
      <c r="E159" t="s">
        <v>665</v>
      </c>
      <c r="F159">
        <v>4.6500000000000004</v>
      </c>
      <c r="G159">
        <v>0.239999994635582</v>
      </c>
      <c r="H159">
        <v>475</v>
      </c>
      <c r="I159">
        <v>4.5199999809265137</v>
      </c>
      <c r="J159" t="s">
        <v>666</v>
      </c>
      <c r="K159">
        <v>2355</v>
      </c>
      <c r="L159">
        <v>2210</v>
      </c>
      <c r="M159">
        <v>-6.16</v>
      </c>
      <c r="N159">
        <v>0</v>
      </c>
      <c r="O159">
        <v>-0.22</v>
      </c>
      <c r="P159">
        <v>0.44</v>
      </c>
      <c r="Q159">
        <v>-2.81</v>
      </c>
      <c r="R159">
        <v>-3.79</v>
      </c>
      <c r="S159">
        <v>5.83</v>
      </c>
      <c r="T159">
        <v>0.52</v>
      </c>
      <c r="U159">
        <v>0.71</v>
      </c>
      <c r="V159">
        <v>1.06</v>
      </c>
      <c r="W159">
        <v>2.62</v>
      </c>
      <c r="X159">
        <v>0.8</v>
      </c>
      <c r="Y159">
        <v>1.9</v>
      </c>
      <c r="Z159">
        <v>0</v>
      </c>
      <c r="AA159">
        <v>0.31</v>
      </c>
      <c r="AB159">
        <v>0.42</v>
      </c>
      <c r="AC159">
        <v>1.07</v>
      </c>
      <c r="AD159">
        <v>4.74</v>
      </c>
      <c r="AE159">
        <v>3.07</v>
      </c>
      <c r="AF159">
        <v>1.601666666666667</v>
      </c>
      <c r="AG159" t="str">
        <f>HYPERLINK("https://finance.naver.com/item/fchart.naver?code=129260", "인터지스 차트보기")</f>
        <v>인터지스 차트보기</v>
      </c>
    </row>
    <row r="160" spans="1:33" x14ac:dyDescent="0.3">
      <c r="A160" t="s">
        <v>667</v>
      </c>
      <c r="B160" t="s">
        <v>55</v>
      </c>
      <c r="C160" t="s">
        <v>668</v>
      </c>
      <c r="D160">
        <v>773876.9</v>
      </c>
      <c r="E160" t="s">
        <v>669</v>
      </c>
      <c r="F160">
        <v>197.42</v>
      </c>
      <c r="G160">
        <v>6.0399999618530273</v>
      </c>
      <c r="H160">
        <v>388</v>
      </c>
      <c r="I160">
        <v>0</v>
      </c>
      <c r="J160" t="s">
        <v>670</v>
      </c>
      <c r="K160">
        <v>100800</v>
      </c>
      <c r="L160">
        <v>76600</v>
      </c>
      <c r="M160">
        <v>-24.01</v>
      </c>
      <c r="N160">
        <v>-4.37</v>
      </c>
      <c r="O160">
        <v>-14.5</v>
      </c>
      <c r="P160">
        <v>-1.66</v>
      </c>
      <c r="Q160">
        <v>-8.5500000000000007</v>
      </c>
      <c r="R160">
        <v>0.11</v>
      </c>
      <c r="S160">
        <v>-3.43</v>
      </c>
      <c r="T160">
        <v>4.71</v>
      </c>
      <c r="U160">
        <v>2.83</v>
      </c>
      <c r="V160">
        <v>4.01</v>
      </c>
      <c r="W160">
        <v>4.63</v>
      </c>
      <c r="X160">
        <v>3.38</v>
      </c>
      <c r="Y160">
        <v>2.65</v>
      </c>
      <c r="Z160">
        <v>0.93</v>
      </c>
      <c r="AA160">
        <v>5.12</v>
      </c>
      <c r="AB160">
        <v>0.41</v>
      </c>
      <c r="AC160">
        <v>1.85</v>
      </c>
      <c r="AD160">
        <v>0.03</v>
      </c>
      <c r="AE160">
        <v>1.29</v>
      </c>
      <c r="AF160">
        <v>1.605</v>
      </c>
      <c r="AG160" t="str">
        <f>HYPERLINK("https://finance.naver.com/item/fchart.naver?code=086520", "에코프로 차트보기")</f>
        <v>에코프로 차트보기</v>
      </c>
    </row>
    <row r="161" spans="1:33" x14ac:dyDescent="0.3">
      <c r="A161" t="s">
        <v>671</v>
      </c>
      <c r="B161" t="s">
        <v>55</v>
      </c>
      <c r="C161" t="s">
        <v>672</v>
      </c>
      <c r="D161">
        <v>2882088.76</v>
      </c>
      <c r="E161" t="s">
        <v>673</v>
      </c>
      <c r="F161">
        <v>0</v>
      </c>
      <c r="G161">
        <v>1.279999971389771</v>
      </c>
      <c r="H161">
        <v>0</v>
      </c>
      <c r="I161">
        <v>0</v>
      </c>
      <c r="J161" t="s">
        <v>674</v>
      </c>
      <c r="K161">
        <v>2215</v>
      </c>
      <c r="L161">
        <v>1554</v>
      </c>
      <c r="M161">
        <v>-29.84</v>
      </c>
      <c r="N161">
        <v>-1.96</v>
      </c>
      <c r="O161">
        <v>2.48</v>
      </c>
      <c r="P161">
        <v>-3.24</v>
      </c>
      <c r="Q161">
        <v>-16.28</v>
      </c>
      <c r="R161">
        <v>-0.05</v>
      </c>
      <c r="S161">
        <v>-2.08</v>
      </c>
      <c r="T161">
        <v>1.81</v>
      </c>
      <c r="U161">
        <v>4.87</v>
      </c>
      <c r="V161">
        <v>1.27</v>
      </c>
      <c r="W161">
        <v>4.4000000000000004</v>
      </c>
      <c r="X161">
        <v>2.02</v>
      </c>
      <c r="Y161">
        <v>1.1599999999999999</v>
      </c>
      <c r="Z161">
        <v>1.08</v>
      </c>
      <c r="AA161">
        <v>0.51</v>
      </c>
      <c r="AB161">
        <v>2.5499999999999998</v>
      </c>
      <c r="AC161">
        <v>3.7</v>
      </c>
      <c r="AD161">
        <v>0.02</v>
      </c>
      <c r="AE161">
        <v>1.79</v>
      </c>
      <c r="AF161">
        <v>1.6083333333333329</v>
      </c>
      <c r="AG161" t="str">
        <f>HYPERLINK("https://finance.naver.com/item/fchart.naver?code=242040", "나무기술 차트보기")</f>
        <v>나무기술 차트보기</v>
      </c>
    </row>
    <row r="162" spans="1:33" x14ac:dyDescent="0.3">
      <c r="A162" t="s">
        <v>675</v>
      </c>
      <c r="B162" t="s">
        <v>55</v>
      </c>
      <c r="C162" t="s">
        <v>676</v>
      </c>
      <c r="D162">
        <v>89217.9</v>
      </c>
      <c r="E162" t="s">
        <v>677</v>
      </c>
      <c r="F162">
        <v>12.23</v>
      </c>
      <c r="G162">
        <v>0.43000000715255737</v>
      </c>
      <c r="H162">
        <v>3435</v>
      </c>
      <c r="I162">
        <v>6.190000057220459</v>
      </c>
      <c r="J162" t="s">
        <v>678</v>
      </c>
      <c r="K162">
        <v>43700</v>
      </c>
      <c r="L162">
        <v>42000</v>
      </c>
      <c r="M162">
        <v>-3.89</v>
      </c>
      <c r="N162">
        <v>-6.15</v>
      </c>
      <c r="O162">
        <v>0.23</v>
      </c>
      <c r="P162">
        <v>6.35</v>
      </c>
      <c r="Q162">
        <v>6.09</v>
      </c>
      <c r="R162">
        <v>-1.43</v>
      </c>
      <c r="S162">
        <v>-5.2</v>
      </c>
      <c r="T162">
        <v>3.16</v>
      </c>
      <c r="U162">
        <v>2.94</v>
      </c>
      <c r="V162">
        <v>3.95</v>
      </c>
      <c r="W162">
        <v>2.72</v>
      </c>
      <c r="X162">
        <v>1.55</v>
      </c>
      <c r="Y162">
        <v>1.81</v>
      </c>
      <c r="Z162">
        <v>1.95</v>
      </c>
      <c r="AA162">
        <v>0.08</v>
      </c>
      <c r="AB162">
        <v>1.61</v>
      </c>
      <c r="AC162">
        <v>2.2400000000000002</v>
      </c>
      <c r="AD162">
        <v>0.92</v>
      </c>
      <c r="AE162">
        <v>2.87</v>
      </c>
      <c r="AF162">
        <v>1.611666666666667</v>
      </c>
      <c r="AG162" t="str">
        <f>HYPERLINK("https://finance.naver.com/item/fchart.naver?code=078340", "컴투스 차트보기")</f>
        <v>컴투스 차트보기</v>
      </c>
    </row>
    <row r="163" spans="1:33" x14ac:dyDescent="0.3">
      <c r="A163" t="s">
        <v>679</v>
      </c>
      <c r="B163" t="s">
        <v>55</v>
      </c>
      <c r="C163" t="s">
        <v>680</v>
      </c>
      <c r="D163">
        <v>9197958.4800000004</v>
      </c>
      <c r="E163" t="s">
        <v>681</v>
      </c>
      <c r="F163">
        <v>69.09</v>
      </c>
      <c r="G163">
        <v>3.3900001049041748</v>
      </c>
      <c r="H163">
        <v>33</v>
      </c>
      <c r="I163">
        <v>0</v>
      </c>
      <c r="J163" t="s">
        <v>682</v>
      </c>
      <c r="K163">
        <v>1983</v>
      </c>
      <c r="L163">
        <v>2280</v>
      </c>
      <c r="M163">
        <v>14.98</v>
      </c>
      <c r="N163">
        <v>5.07</v>
      </c>
      <c r="O163">
        <v>0.7</v>
      </c>
      <c r="P163">
        <v>-2.4</v>
      </c>
      <c r="Q163">
        <v>-3.42</v>
      </c>
      <c r="R163">
        <v>13.88</v>
      </c>
      <c r="S163">
        <v>-17.13</v>
      </c>
      <c r="T163">
        <v>2.4900000000000002</v>
      </c>
      <c r="U163">
        <v>3.04</v>
      </c>
      <c r="V163">
        <v>5.0199999999999996</v>
      </c>
      <c r="W163">
        <v>4.67</v>
      </c>
      <c r="X163">
        <v>7.58</v>
      </c>
      <c r="Y163">
        <v>3.92</v>
      </c>
      <c r="Z163">
        <v>2.04</v>
      </c>
      <c r="AA163">
        <v>0.23</v>
      </c>
      <c r="AB163">
        <v>0.48</v>
      </c>
      <c r="AC163">
        <v>0.73</v>
      </c>
      <c r="AD163">
        <v>1.83</v>
      </c>
      <c r="AE163">
        <v>4.37</v>
      </c>
      <c r="AF163">
        <v>1.6133333333333331</v>
      </c>
      <c r="AG163" t="str">
        <f>HYPERLINK("https://finance.naver.com/item/fchart.naver?code=032820", "우리기술 차트보기")</f>
        <v>우리기술 차트보기</v>
      </c>
    </row>
    <row r="164" spans="1:33" x14ac:dyDescent="0.3">
      <c r="A164" t="s">
        <v>683</v>
      </c>
      <c r="B164" t="s">
        <v>55</v>
      </c>
      <c r="C164" t="s">
        <v>684</v>
      </c>
      <c r="D164">
        <v>381100.86</v>
      </c>
      <c r="E164" t="s">
        <v>685</v>
      </c>
      <c r="F164">
        <v>7.94</v>
      </c>
      <c r="G164">
        <v>1.2599999904632571</v>
      </c>
      <c r="H164">
        <v>1985</v>
      </c>
      <c r="I164">
        <v>3.1700000762939449</v>
      </c>
      <c r="J164" t="s">
        <v>686</v>
      </c>
      <c r="K164">
        <v>22075</v>
      </c>
      <c r="L164">
        <v>15760</v>
      </c>
      <c r="M164">
        <v>-28.61</v>
      </c>
      <c r="N164">
        <v>2.94</v>
      </c>
      <c r="O164">
        <v>-7.01</v>
      </c>
      <c r="P164">
        <v>0.6</v>
      </c>
      <c r="Q164">
        <v>0.48</v>
      </c>
      <c r="R164">
        <v>-17.68</v>
      </c>
      <c r="S164">
        <v>-5.65</v>
      </c>
      <c r="T164">
        <v>3.55</v>
      </c>
      <c r="U164">
        <v>2.41</v>
      </c>
      <c r="V164">
        <v>3.99</v>
      </c>
      <c r="W164">
        <v>4.88</v>
      </c>
      <c r="X164">
        <v>4.95</v>
      </c>
      <c r="Y164">
        <v>2.67</v>
      </c>
      <c r="Z164">
        <v>0.83</v>
      </c>
      <c r="AA164">
        <v>2.91</v>
      </c>
      <c r="AB164">
        <v>0.15</v>
      </c>
      <c r="AC164">
        <v>0.1</v>
      </c>
      <c r="AD164">
        <v>3.57</v>
      </c>
      <c r="AE164">
        <v>2.12</v>
      </c>
      <c r="AF164">
        <v>1.6133333333333331</v>
      </c>
      <c r="AG164" t="str">
        <f>HYPERLINK("https://finance.naver.com/item/fchart.naver?code=083450", "GST 차트보기")</f>
        <v>GST 차트보기</v>
      </c>
    </row>
    <row r="165" spans="1:33" x14ac:dyDescent="0.3">
      <c r="A165" t="s">
        <v>687</v>
      </c>
      <c r="B165" t="s">
        <v>55</v>
      </c>
      <c r="C165" t="s">
        <v>688</v>
      </c>
      <c r="D165">
        <v>9596.57</v>
      </c>
      <c r="E165" t="s">
        <v>689</v>
      </c>
      <c r="F165">
        <v>0</v>
      </c>
      <c r="G165">
        <v>0</v>
      </c>
      <c r="H165">
        <v>0</v>
      </c>
      <c r="I165">
        <v>0</v>
      </c>
      <c r="J165" t="s">
        <v>690</v>
      </c>
      <c r="K165">
        <v>2040</v>
      </c>
      <c r="L165">
        <v>2005</v>
      </c>
      <c r="M165">
        <v>-1.72</v>
      </c>
      <c r="N165">
        <v>-0.5</v>
      </c>
      <c r="O165">
        <v>0.25</v>
      </c>
      <c r="P165">
        <v>-0.74</v>
      </c>
      <c r="Q165">
        <v>-0.98</v>
      </c>
      <c r="R165">
        <v>0.74</v>
      </c>
      <c r="S165">
        <v>-0.25</v>
      </c>
      <c r="T165">
        <v>0.3</v>
      </c>
      <c r="U165">
        <v>0.47</v>
      </c>
      <c r="V165">
        <v>0.34</v>
      </c>
      <c r="W165">
        <v>0.54</v>
      </c>
      <c r="X165">
        <v>0.32</v>
      </c>
      <c r="Y165">
        <v>0.21</v>
      </c>
      <c r="Z165">
        <v>1.67</v>
      </c>
      <c r="AA165">
        <v>0.53</v>
      </c>
      <c r="AB165">
        <v>2.1800000000000002</v>
      </c>
      <c r="AC165">
        <v>1.81</v>
      </c>
      <c r="AD165">
        <v>2.31</v>
      </c>
      <c r="AE165">
        <v>1.19</v>
      </c>
      <c r="AF165">
        <v>1.615</v>
      </c>
      <c r="AG165" t="str">
        <f>HYPERLINK("https://finance.naver.com/item/fchart.naver?code=473050", "유안타제15호스팩 차트보기")</f>
        <v>유안타제15호스팩 차트보기</v>
      </c>
    </row>
    <row r="166" spans="1:33" x14ac:dyDescent="0.3">
      <c r="A166" t="s">
        <v>691</v>
      </c>
      <c r="B166" t="s">
        <v>55</v>
      </c>
      <c r="C166" t="s">
        <v>692</v>
      </c>
      <c r="D166">
        <v>9214.43</v>
      </c>
      <c r="E166" t="s">
        <v>693</v>
      </c>
      <c r="F166">
        <v>4.1100000000000003</v>
      </c>
      <c r="G166">
        <v>0.56000000238418579</v>
      </c>
      <c r="H166">
        <v>1182</v>
      </c>
      <c r="I166">
        <v>4.940000057220459</v>
      </c>
      <c r="J166" t="s">
        <v>694</v>
      </c>
      <c r="K166">
        <v>5550</v>
      </c>
      <c r="L166">
        <v>4855</v>
      </c>
      <c r="M166">
        <v>-12.52</v>
      </c>
      <c r="N166">
        <v>-0.41</v>
      </c>
      <c r="O166">
        <v>-0.61</v>
      </c>
      <c r="P166">
        <v>-1.01</v>
      </c>
      <c r="Q166">
        <v>-9.6300000000000008</v>
      </c>
      <c r="R166">
        <v>-2.73</v>
      </c>
      <c r="S166">
        <v>1.1000000000000001</v>
      </c>
      <c r="T166">
        <v>1.26</v>
      </c>
      <c r="U166">
        <v>0.72</v>
      </c>
      <c r="V166">
        <v>0.99</v>
      </c>
      <c r="W166">
        <v>2.54</v>
      </c>
      <c r="X166">
        <v>1.6</v>
      </c>
      <c r="Y166">
        <v>0.55000000000000004</v>
      </c>
      <c r="Z166">
        <v>0.33</v>
      </c>
      <c r="AA166">
        <v>0.85</v>
      </c>
      <c r="AB166">
        <v>1.02</v>
      </c>
      <c r="AC166">
        <v>3.79</v>
      </c>
      <c r="AD166">
        <v>1.71</v>
      </c>
      <c r="AE166">
        <v>2</v>
      </c>
      <c r="AF166">
        <v>1.616666666666666</v>
      </c>
      <c r="AG166" t="str">
        <f>HYPERLINK("https://finance.naver.com/item/fchart.naver?code=010240", "흥국 차트보기")</f>
        <v>흥국 차트보기</v>
      </c>
    </row>
    <row r="167" spans="1:33" x14ac:dyDescent="0.3">
      <c r="A167" t="s">
        <v>695</v>
      </c>
      <c r="B167" t="s">
        <v>34</v>
      </c>
      <c r="C167" t="s">
        <v>696</v>
      </c>
      <c r="D167">
        <v>106.43</v>
      </c>
      <c r="E167" t="s">
        <v>697</v>
      </c>
      <c r="F167">
        <v>0</v>
      </c>
      <c r="G167">
        <v>0</v>
      </c>
      <c r="H167">
        <v>0</v>
      </c>
      <c r="I167">
        <v>1.389999985694885</v>
      </c>
      <c r="J167" t="s">
        <v>698</v>
      </c>
      <c r="K167">
        <v>29100</v>
      </c>
      <c r="L167">
        <v>30600</v>
      </c>
      <c r="M167">
        <v>5.15</v>
      </c>
      <c r="N167">
        <v>-1.92</v>
      </c>
      <c r="O167">
        <v>1.1499999999999999</v>
      </c>
      <c r="P167">
        <v>-2.08</v>
      </c>
      <c r="Q167">
        <v>1.62</v>
      </c>
      <c r="R167">
        <v>0.65</v>
      </c>
      <c r="S167">
        <v>2.1800000000000002</v>
      </c>
      <c r="T167">
        <v>0.67</v>
      </c>
      <c r="U167">
        <v>1.07</v>
      </c>
      <c r="V167">
        <v>1.26</v>
      </c>
      <c r="W167">
        <v>0.77</v>
      </c>
      <c r="X167">
        <v>1.23</v>
      </c>
      <c r="Y167">
        <v>1.47</v>
      </c>
      <c r="Z167">
        <v>2.87</v>
      </c>
      <c r="AA167">
        <v>1.07</v>
      </c>
      <c r="AB167">
        <v>1.65</v>
      </c>
      <c r="AC167">
        <v>2.1</v>
      </c>
      <c r="AD167">
        <v>0.53</v>
      </c>
      <c r="AE167">
        <v>1.48</v>
      </c>
      <c r="AF167">
        <v>1.616666666666666</v>
      </c>
      <c r="AG167" t="str">
        <f>HYPERLINK("https://finance.naver.com/item/fchart.naver?code=001065", "JW중외제약우 차트보기")</f>
        <v>JW중외제약우 차트보기</v>
      </c>
    </row>
    <row r="168" spans="1:33" x14ac:dyDescent="0.3">
      <c r="A168" t="s">
        <v>699</v>
      </c>
      <c r="B168" t="s">
        <v>34</v>
      </c>
      <c r="C168" t="s">
        <v>700</v>
      </c>
      <c r="D168">
        <v>9770.6200000000008</v>
      </c>
      <c r="E168" t="s">
        <v>701</v>
      </c>
      <c r="F168">
        <v>0</v>
      </c>
      <c r="G168">
        <v>0</v>
      </c>
      <c r="H168">
        <v>0</v>
      </c>
      <c r="I168">
        <v>3.880000114440918</v>
      </c>
      <c r="J168" t="s">
        <v>702</v>
      </c>
      <c r="K168">
        <v>3420</v>
      </c>
      <c r="L168">
        <v>3090</v>
      </c>
      <c r="M168">
        <v>-9.65</v>
      </c>
      <c r="N168">
        <v>0.32</v>
      </c>
      <c r="O168">
        <v>-0.48</v>
      </c>
      <c r="P168">
        <v>-3.41</v>
      </c>
      <c r="Q168">
        <v>-4.01</v>
      </c>
      <c r="R168">
        <v>1.06</v>
      </c>
      <c r="S168">
        <v>-0.15</v>
      </c>
      <c r="T168">
        <v>1.49</v>
      </c>
      <c r="U168">
        <v>0.91</v>
      </c>
      <c r="V168">
        <v>0.82</v>
      </c>
      <c r="W168">
        <v>1.31</v>
      </c>
      <c r="X168">
        <v>0.72</v>
      </c>
      <c r="Y168">
        <v>0.53</v>
      </c>
      <c r="Z168">
        <v>0.21</v>
      </c>
      <c r="AA168">
        <v>0.53</v>
      </c>
      <c r="AB168">
        <v>4.16</v>
      </c>
      <c r="AC168">
        <v>3.06</v>
      </c>
      <c r="AD168">
        <v>1.47</v>
      </c>
      <c r="AE168">
        <v>0.28000000000000003</v>
      </c>
      <c r="AF168">
        <v>1.618333333333333</v>
      </c>
      <c r="AG168" t="str">
        <f>HYPERLINK("https://finance.naver.com/item/fchart.naver?code=002355", "넥센타이어1우B 차트보기")</f>
        <v>넥센타이어1우B 차트보기</v>
      </c>
    </row>
    <row r="169" spans="1:33" x14ac:dyDescent="0.3">
      <c r="A169" t="s">
        <v>703</v>
      </c>
      <c r="B169" t="s">
        <v>55</v>
      </c>
      <c r="C169" t="s">
        <v>704</v>
      </c>
      <c r="D169">
        <v>1428766.67</v>
      </c>
      <c r="E169" t="s">
        <v>705</v>
      </c>
      <c r="F169">
        <v>65.09</v>
      </c>
      <c r="G169">
        <v>2.8499999046325679</v>
      </c>
      <c r="H169">
        <v>169</v>
      </c>
      <c r="I169">
        <v>0</v>
      </c>
      <c r="J169" t="s">
        <v>706</v>
      </c>
      <c r="K169">
        <v>16540</v>
      </c>
      <c r="L169">
        <v>11000</v>
      </c>
      <c r="M169">
        <v>-33.49</v>
      </c>
      <c r="N169">
        <v>-9.76</v>
      </c>
      <c r="O169">
        <v>-3.19</v>
      </c>
      <c r="P169">
        <v>1.38</v>
      </c>
      <c r="Q169">
        <v>-21.88</v>
      </c>
      <c r="R169">
        <v>12.59</v>
      </c>
      <c r="S169">
        <v>0.35</v>
      </c>
      <c r="T169">
        <v>3</v>
      </c>
      <c r="U169">
        <v>4.38</v>
      </c>
      <c r="V169">
        <v>6.81</v>
      </c>
      <c r="W169">
        <v>5.9</v>
      </c>
      <c r="X169">
        <v>7.14</v>
      </c>
      <c r="Y169">
        <v>6.22</v>
      </c>
      <c r="Z169">
        <v>3.25</v>
      </c>
      <c r="AA169">
        <v>0.73</v>
      </c>
      <c r="AB169">
        <v>0.2</v>
      </c>
      <c r="AC169">
        <v>3.71</v>
      </c>
      <c r="AD169">
        <v>1.76</v>
      </c>
      <c r="AE169">
        <v>0.06</v>
      </c>
      <c r="AF169">
        <v>1.618333333333333</v>
      </c>
      <c r="AG169" t="str">
        <f>HYPERLINK("https://finance.naver.com/item/fchart.naver?code=232140", "와이씨 차트보기")</f>
        <v>와이씨 차트보기</v>
      </c>
    </row>
    <row r="170" spans="1:33" x14ac:dyDescent="0.3">
      <c r="A170" t="s">
        <v>707</v>
      </c>
      <c r="B170" t="s">
        <v>34</v>
      </c>
      <c r="C170" t="s">
        <v>708</v>
      </c>
      <c r="D170">
        <v>41012.76</v>
      </c>
      <c r="E170" t="s">
        <v>709</v>
      </c>
      <c r="F170">
        <v>6.22</v>
      </c>
      <c r="G170">
        <v>0.46000000834465032</v>
      </c>
      <c r="H170">
        <v>1362</v>
      </c>
      <c r="I170">
        <v>3.839999914169312</v>
      </c>
      <c r="J170" t="s">
        <v>710</v>
      </c>
      <c r="K170">
        <v>9580</v>
      </c>
      <c r="L170">
        <v>8470</v>
      </c>
      <c r="M170">
        <v>-11.59</v>
      </c>
      <c r="N170">
        <v>2.0499999999999998</v>
      </c>
      <c r="O170">
        <v>-2.99</v>
      </c>
      <c r="P170">
        <v>-1.56</v>
      </c>
      <c r="Q170">
        <v>-6.76</v>
      </c>
      <c r="R170">
        <v>-0.72</v>
      </c>
      <c r="S170">
        <v>2.74</v>
      </c>
      <c r="T170">
        <v>1.28</v>
      </c>
      <c r="U170">
        <v>1.04</v>
      </c>
      <c r="V170">
        <v>1.53</v>
      </c>
      <c r="W170">
        <v>3.48</v>
      </c>
      <c r="X170">
        <v>1.26</v>
      </c>
      <c r="Y170">
        <v>1.6</v>
      </c>
      <c r="Z170">
        <v>1.6</v>
      </c>
      <c r="AA170">
        <v>2.88</v>
      </c>
      <c r="AB170">
        <v>1.02</v>
      </c>
      <c r="AC170">
        <v>1.94</v>
      </c>
      <c r="AD170">
        <v>0.56999999999999995</v>
      </c>
      <c r="AE170">
        <v>1.71</v>
      </c>
      <c r="AF170">
        <v>1.62</v>
      </c>
      <c r="AG170" t="str">
        <f>HYPERLINK("https://finance.naver.com/item/fchart.naver?code=090350", "노루페인트 차트보기")</f>
        <v>노루페인트 차트보기</v>
      </c>
    </row>
    <row r="171" spans="1:33" x14ac:dyDescent="0.3">
      <c r="A171" t="s">
        <v>711</v>
      </c>
      <c r="B171" t="s">
        <v>55</v>
      </c>
      <c r="C171" t="s">
        <v>712</v>
      </c>
      <c r="D171">
        <v>12329.86</v>
      </c>
      <c r="E171" t="s">
        <v>713</v>
      </c>
      <c r="F171">
        <v>5.14</v>
      </c>
      <c r="G171">
        <v>0.40999999642372131</v>
      </c>
      <c r="H171">
        <v>524</v>
      </c>
      <c r="I171">
        <v>1.860000014305115</v>
      </c>
      <c r="J171" t="s">
        <v>714</v>
      </c>
      <c r="K171">
        <v>3080</v>
      </c>
      <c r="L171">
        <v>2695</v>
      </c>
      <c r="M171">
        <v>-12.5</v>
      </c>
      <c r="N171">
        <v>-0.37</v>
      </c>
      <c r="O171">
        <v>0.19</v>
      </c>
      <c r="P171">
        <v>-2.35</v>
      </c>
      <c r="Q171">
        <v>-2.94</v>
      </c>
      <c r="R171">
        <v>-0.17</v>
      </c>
      <c r="S171">
        <v>-7.19</v>
      </c>
      <c r="T171">
        <v>0.62</v>
      </c>
      <c r="U171">
        <v>0.28999999999999998</v>
      </c>
      <c r="V171">
        <v>1.04</v>
      </c>
      <c r="W171">
        <v>3.71</v>
      </c>
      <c r="X171">
        <v>0.82</v>
      </c>
      <c r="Y171">
        <v>1.38</v>
      </c>
      <c r="Z171">
        <v>0.6</v>
      </c>
      <c r="AA171">
        <v>0.66</v>
      </c>
      <c r="AB171">
        <v>2.2599999999999998</v>
      </c>
      <c r="AC171">
        <v>0.79</v>
      </c>
      <c r="AD171">
        <v>0.21</v>
      </c>
      <c r="AE171">
        <v>5.21</v>
      </c>
      <c r="AF171">
        <v>1.621666666666667</v>
      </c>
      <c r="AG171" t="str">
        <f>HYPERLINK("https://finance.naver.com/item/fchart.naver?code=045060", "오공 차트보기")</f>
        <v>오공 차트보기</v>
      </c>
    </row>
    <row r="172" spans="1:33" x14ac:dyDescent="0.3">
      <c r="A172" t="s">
        <v>715</v>
      </c>
      <c r="B172" t="s">
        <v>55</v>
      </c>
      <c r="C172" t="s">
        <v>716</v>
      </c>
      <c r="D172">
        <v>49551</v>
      </c>
      <c r="E172" t="s">
        <v>717</v>
      </c>
      <c r="F172">
        <v>71.28</v>
      </c>
      <c r="G172">
        <v>1.2100000381469731</v>
      </c>
      <c r="H172">
        <v>227</v>
      </c>
      <c r="I172">
        <v>0</v>
      </c>
      <c r="J172" t="s">
        <v>718</v>
      </c>
      <c r="K172">
        <v>20700</v>
      </c>
      <c r="L172">
        <v>16180</v>
      </c>
      <c r="M172">
        <v>-21.84</v>
      </c>
      <c r="N172">
        <v>-0.68</v>
      </c>
      <c r="O172">
        <v>3.09</v>
      </c>
      <c r="P172">
        <v>0.93</v>
      </c>
      <c r="Q172">
        <v>-16.32</v>
      </c>
      <c r="R172">
        <v>1.31</v>
      </c>
      <c r="S172">
        <v>-2.5499999999999998</v>
      </c>
      <c r="T172">
        <v>2.13</v>
      </c>
      <c r="U172">
        <v>1.78</v>
      </c>
      <c r="V172">
        <v>1.58</v>
      </c>
      <c r="W172">
        <v>4.51</v>
      </c>
      <c r="X172">
        <v>1.24</v>
      </c>
      <c r="Y172">
        <v>1.06</v>
      </c>
      <c r="Z172">
        <v>0.32</v>
      </c>
      <c r="AA172">
        <v>1.74</v>
      </c>
      <c r="AB172">
        <v>0.59</v>
      </c>
      <c r="AC172">
        <v>3.62</v>
      </c>
      <c r="AD172">
        <v>1.06</v>
      </c>
      <c r="AE172">
        <v>2.41</v>
      </c>
      <c r="AF172">
        <v>1.6233333333333331</v>
      </c>
      <c r="AG172" t="str">
        <f>HYPERLINK("https://finance.naver.com/item/fchart.naver?code=039840", "디오 차트보기")</f>
        <v>디오 차트보기</v>
      </c>
    </row>
    <row r="173" spans="1:33" x14ac:dyDescent="0.3">
      <c r="A173" t="s">
        <v>719</v>
      </c>
      <c r="B173" t="s">
        <v>55</v>
      </c>
      <c r="C173" t="s">
        <v>720</v>
      </c>
      <c r="D173">
        <v>284720.67</v>
      </c>
      <c r="E173" t="s">
        <v>721</v>
      </c>
      <c r="F173">
        <v>0</v>
      </c>
      <c r="G173">
        <v>4.190000057220459</v>
      </c>
      <c r="H173">
        <v>0</v>
      </c>
      <c r="I173">
        <v>0</v>
      </c>
      <c r="J173" t="s">
        <v>722</v>
      </c>
      <c r="K173">
        <v>13540</v>
      </c>
      <c r="L173">
        <v>8930</v>
      </c>
      <c r="M173">
        <v>-34.049999999999997</v>
      </c>
      <c r="N173">
        <v>5.31</v>
      </c>
      <c r="O173">
        <v>5.35</v>
      </c>
      <c r="P173">
        <v>-5.07</v>
      </c>
      <c r="Q173">
        <v>-17</v>
      </c>
      <c r="R173">
        <v>8.52</v>
      </c>
      <c r="S173">
        <v>4.55</v>
      </c>
      <c r="T173">
        <v>3.7</v>
      </c>
      <c r="U173">
        <v>4.34</v>
      </c>
      <c r="V173">
        <v>4.55</v>
      </c>
      <c r="W173">
        <v>5.28</v>
      </c>
      <c r="X173">
        <v>4.6399999999999997</v>
      </c>
      <c r="Y173">
        <v>5.01</v>
      </c>
      <c r="Z173">
        <v>1.44</v>
      </c>
      <c r="AA173">
        <v>1.23</v>
      </c>
      <c r="AB173">
        <v>1.1100000000000001</v>
      </c>
      <c r="AC173">
        <v>3.22</v>
      </c>
      <c r="AD173">
        <v>1.84</v>
      </c>
      <c r="AE173">
        <v>0.91</v>
      </c>
      <c r="AF173">
        <v>1.625</v>
      </c>
      <c r="AG173" t="str">
        <f>HYPERLINK("https://finance.naver.com/item/fchart.naver?code=290690", "소룩스 차트보기")</f>
        <v>소룩스 차트보기</v>
      </c>
    </row>
    <row r="174" spans="1:33" x14ac:dyDescent="0.3">
      <c r="A174" t="s">
        <v>723</v>
      </c>
      <c r="B174" t="s">
        <v>34</v>
      </c>
      <c r="C174" t="s">
        <v>724</v>
      </c>
      <c r="D174">
        <v>33701.9</v>
      </c>
      <c r="E174" t="s">
        <v>725</v>
      </c>
      <c r="F174">
        <v>13.82</v>
      </c>
      <c r="G174">
        <v>0.37999999523162842</v>
      </c>
      <c r="H174">
        <v>352</v>
      </c>
      <c r="I174">
        <v>0</v>
      </c>
      <c r="J174" t="s">
        <v>726</v>
      </c>
      <c r="K174">
        <v>5590</v>
      </c>
      <c r="L174">
        <v>4865</v>
      </c>
      <c r="M174">
        <v>-12.97</v>
      </c>
      <c r="N174">
        <v>3.4</v>
      </c>
      <c r="O174">
        <v>-3.25</v>
      </c>
      <c r="P174">
        <v>-1.8</v>
      </c>
      <c r="Q174">
        <v>-3.93</v>
      </c>
      <c r="R174">
        <v>0</v>
      </c>
      <c r="S174">
        <v>-3.32</v>
      </c>
      <c r="T174">
        <v>1.44</v>
      </c>
      <c r="U174">
        <v>1.36</v>
      </c>
      <c r="V174">
        <v>1.66</v>
      </c>
      <c r="W174">
        <v>3.99</v>
      </c>
      <c r="X174">
        <v>1.1499999999999999</v>
      </c>
      <c r="Y174">
        <v>1.1299999999999999</v>
      </c>
      <c r="Z174">
        <v>2.36</v>
      </c>
      <c r="AA174">
        <v>2.39</v>
      </c>
      <c r="AB174">
        <v>1.08</v>
      </c>
      <c r="AC174">
        <v>0.98</v>
      </c>
      <c r="AD174">
        <v>0</v>
      </c>
      <c r="AE174">
        <v>2.94</v>
      </c>
      <c r="AF174">
        <v>1.625</v>
      </c>
      <c r="AG174" t="str">
        <f>HYPERLINK("https://finance.naver.com/item/fchart.naver?code=004720", "팜젠사이언스 차트보기")</f>
        <v>팜젠사이언스 차트보기</v>
      </c>
    </row>
    <row r="175" spans="1:33" x14ac:dyDescent="0.3">
      <c r="A175" t="s">
        <v>727</v>
      </c>
      <c r="B175" t="s">
        <v>55</v>
      </c>
      <c r="C175" t="s">
        <v>728</v>
      </c>
      <c r="D175">
        <v>386292.81</v>
      </c>
      <c r="E175" t="s">
        <v>729</v>
      </c>
      <c r="F175">
        <v>17.170000000000002</v>
      </c>
      <c r="G175">
        <v>4.5999999046325684</v>
      </c>
      <c r="H175">
        <v>3186</v>
      </c>
      <c r="I175">
        <v>1.049999952316284</v>
      </c>
      <c r="J175" t="s">
        <v>730</v>
      </c>
      <c r="K175">
        <v>60100</v>
      </c>
      <c r="L175">
        <v>54700</v>
      </c>
      <c r="M175">
        <v>-8.99</v>
      </c>
      <c r="N175">
        <v>12.21</v>
      </c>
      <c r="O175">
        <v>-3.08</v>
      </c>
      <c r="P175">
        <v>-0.59</v>
      </c>
      <c r="Q175">
        <v>-11.44</v>
      </c>
      <c r="R175">
        <v>0.35</v>
      </c>
      <c r="S175">
        <v>-2.39</v>
      </c>
      <c r="T175">
        <v>4.7</v>
      </c>
      <c r="U175">
        <v>1.79</v>
      </c>
      <c r="V175">
        <v>3.4</v>
      </c>
      <c r="W175">
        <v>3.6</v>
      </c>
      <c r="X175">
        <v>2.38</v>
      </c>
      <c r="Y175">
        <v>1.23</v>
      </c>
      <c r="Z175">
        <v>2.6</v>
      </c>
      <c r="AA175">
        <v>1.72</v>
      </c>
      <c r="AB175">
        <v>0.17</v>
      </c>
      <c r="AC175">
        <v>3.18</v>
      </c>
      <c r="AD175">
        <v>0.15</v>
      </c>
      <c r="AE175">
        <v>1.94</v>
      </c>
      <c r="AF175">
        <v>1.6266666666666669</v>
      </c>
      <c r="AG175" t="str">
        <f>HYPERLINK("https://finance.naver.com/item/fchart.naver?code=035900", "JYP Ent. 차트보기")</f>
        <v>JYP Ent. 차트보기</v>
      </c>
    </row>
    <row r="176" spans="1:33" x14ac:dyDescent="0.3">
      <c r="A176" t="s">
        <v>731</v>
      </c>
      <c r="B176" t="s">
        <v>34</v>
      </c>
      <c r="C176" t="s">
        <v>732</v>
      </c>
      <c r="D176">
        <v>2158.71</v>
      </c>
      <c r="E176" t="s">
        <v>733</v>
      </c>
      <c r="F176">
        <v>5.62</v>
      </c>
      <c r="G176">
        <v>0.70999997854232788</v>
      </c>
      <c r="H176">
        <v>7470</v>
      </c>
      <c r="I176">
        <v>2.8599998950958252</v>
      </c>
      <c r="J176" t="s">
        <v>734</v>
      </c>
      <c r="K176">
        <v>38900</v>
      </c>
      <c r="L176">
        <v>42000</v>
      </c>
      <c r="M176">
        <v>7.97</v>
      </c>
      <c r="N176">
        <v>-0.59</v>
      </c>
      <c r="O176">
        <v>-1.52</v>
      </c>
      <c r="P176">
        <v>-2.96</v>
      </c>
      <c r="Q176">
        <v>-4.3499999999999996</v>
      </c>
      <c r="R176">
        <v>-11.75</v>
      </c>
      <c r="S176">
        <v>7.37</v>
      </c>
      <c r="T176">
        <v>0.31</v>
      </c>
      <c r="U176">
        <v>3.1</v>
      </c>
      <c r="V176">
        <v>3.66</v>
      </c>
      <c r="W176">
        <v>2.93</v>
      </c>
      <c r="X176">
        <v>3.1</v>
      </c>
      <c r="Y176">
        <v>5.64</v>
      </c>
      <c r="Z176">
        <v>1.9</v>
      </c>
      <c r="AA176">
        <v>0.49</v>
      </c>
      <c r="AB176">
        <v>0.81</v>
      </c>
      <c r="AC176">
        <v>1.48</v>
      </c>
      <c r="AD176">
        <v>3.79</v>
      </c>
      <c r="AE176">
        <v>1.31</v>
      </c>
      <c r="AF176">
        <v>1.63</v>
      </c>
      <c r="AG176" t="str">
        <f>HYPERLINK("https://finance.naver.com/item/fchart.naver?code=016800", "퍼시스 차트보기")</f>
        <v>퍼시스 차트보기</v>
      </c>
    </row>
    <row r="177" spans="1:33" x14ac:dyDescent="0.3">
      <c r="A177" t="s">
        <v>735</v>
      </c>
      <c r="B177" t="s">
        <v>34</v>
      </c>
      <c r="C177" t="s">
        <v>736</v>
      </c>
      <c r="D177">
        <v>8177.86</v>
      </c>
      <c r="E177" t="s">
        <v>737</v>
      </c>
      <c r="F177">
        <v>0</v>
      </c>
      <c r="G177">
        <v>2.7699999809265141</v>
      </c>
      <c r="H177">
        <v>0</v>
      </c>
      <c r="I177">
        <v>0</v>
      </c>
      <c r="J177" t="s">
        <v>738</v>
      </c>
      <c r="K177">
        <v>20650</v>
      </c>
      <c r="L177">
        <v>17890</v>
      </c>
      <c r="M177">
        <v>-13.37</v>
      </c>
      <c r="N177">
        <v>-1.76</v>
      </c>
      <c r="O177">
        <v>1.89</v>
      </c>
      <c r="P177">
        <v>-5.94</v>
      </c>
      <c r="Q177">
        <v>-1.08</v>
      </c>
      <c r="R177">
        <v>1.67</v>
      </c>
      <c r="S177">
        <v>0.67</v>
      </c>
      <c r="T177">
        <v>1.25</v>
      </c>
      <c r="U177">
        <v>1.33</v>
      </c>
      <c r="V177">
        <v>1.35</v>
      </c>
      <c r="W177">
        <v>1.37</v>
      </c>
      <c r="X177">
        <v>1.25</v>
      </c>
      <c r="Y177">
        <v>1.58</v>
      </c>
      <c r="Z177">
        <v>1.41</v>
      </c>
      <c r="AA177">
        <v>1.42</v>
      </c>
      <c r="AB177">
        <v>4.4000000000000004</v>
      </c>
      <c r="AC177">
        <v>0.79</v>
      </c>
      <c r="AD177">
        <v>1.34</v>
      </c>
      <c r="AE177">
        <v>0.42</v>
      </c>
      <c r="AF177">
        <v>1.63</v>
      </c>
      <c r="AG177" t="str">
        <f>HYPERLINK("https://finance.naver.com/item/fchart.naver?code=403550", "쏘카 차트보기")</f>
        <v>쏘카 차트보기</v>
      </c>
    </row>
    <row r="178" spans="1:33" x14ac:dyDescent="0.3">
      <c r="A178" t="s">
        <v>739</v>
      </c>
      <c r="B178" t="s">
        <v>34</v>
      </c>
      <c r="C178" t="s">
        <v>740</v>
      </c>
      <c r="D178">
        <v>4390.67</v>
      </c>
      <c r="E178" t="s">
        <v>741</v>
      </c>
      <c r="F178">
        <v>0</v>
      </c>
      <c r="G178">
        <v>0</v>
      </c>
      <c r="H178">
        <v>0</v>
      </c>
      <c r="I178">
        <v>3.5199999809265141</v>
      </c>
      <c r="J178" t="s">
        <v>742</v>
      </c>
      <c r="K178">
        <v>18110</v>
      </c>
      <c r="L178">
        <v>15640</v>
      </c>
      <c r="M178">
        <v>-13.64</v>
      </c>
      <c r="N178">
        <v>-1.08</v>
      </c>
      <c r="O178">
        <v>0.13</v>
      </c>
      <c r="P178">
        <v>-6.79</v>
      </c>
      <c r="Q178">
        <v>-5.07</v>
      </c>
      <c r="R178">
        <v>1.2</v>
      </c>
      <c r="S178">
        <v>-2.2400000000000002</v>
      </c>
      <c r="T178">
        <v>0.88</v>
      </c>
      <c r="U178">
        <v>1.2</v>
      </c>
      <c r="V178">
        <v>1.28</v>
      </c>
      <c r="W178">
        <v>2.38</v>
      </c>
      <c r="X178">
        <v>1.6</v>
      </c>
      <c r="Y178">
        <v>8.0500000000000007</v>
      </c>
      <c r="Z178">
        <v>1.23</v>
      </c>
      <c r="AA178">
        <v>0.11</v>
      </c>
      <c r="AB178">
        <v>5.3</v>
      </c>
      <c r="AC178">
        <v>2.13</v>
      </c>
      <c r="AD178">
        <v>0.75</v>
      </c>
      <c r="AE178">
        <v>0.28000000000000003</v>
      </c>
      <c r="AF178">
        <v>1.6333333333333331</v>
      </c>
      <c r="AG178" t="str">
        <f>HYPERLINK("https://finance.naver.com/item/fchart.naver?code=37550K", "DL이앤씨우 차트보기")</f>
        <v>DL이앤씨우 차트보기</v>
      </c>
    </row>
    <row r="179" spans="1:33" x14ac:dyDescent="0.3">
      <c r="A179" t="s">
        <v>743</v>
      </c>
      <c r="B179" t="s">
        <v>55</v>
      </c>
      <c r="C179" t="s">
        <v>744</v>
      </c>
      <c r="D179">
        <v>6821528.8099999996</v>
      </c>
      <c r="E179" t="s">
        <v>745</v>
      </c>
      <c r="F179">
        <v>0</v>
      </c>
      <c r="G179">
        <v>1.9099999666213989</v>
      </c>
      <c r="H179">
        <v>0</v>
      </c>
      <c r="I179">
        <v>0</v>
      </c>
      <c r="J179" t="s">
        <v>746</v>
      </c>
      <c r="K179">
        <v>3725</v>
      </c>
      <c r="L179">
        <v>3820</v>
      </c>
      <c r="M179">
        <v>2.5499999999999998</v>
      </c>
      <c r="N179">
        <v>-4.26</v>
      </c>
      <c r="O179">
        <v>21.26</v>
      </c>
      <c r="P179">
        <v>-1.55</v>
      </c>
      <c r="Q179">
        <v>-3.45</v>
      </c>
      <c r="R179">
        <v>-7.72</v>
      </c>
      <c r="S179">
        <v>2.5499999999999998</v>
      </c>
      <c r="T179">
        <v>2.6</v>
      </c>
      <c r="U179">
        <v>9.5500000000000007</v>
      </c>
      <c r="V179">
        <v>1.78</v>
      </c>
      <c r="W179">
        <v>8.6300000000000008</v>
      </c>
      <c r="X179">
        <v>1.87</v>
      </c>
      <c r="Y179">
        <v>4.8</v>
      </c>
      <c r="Z179">
        <v>1.64</v>
      </c>
      <c r="AA179">
        <v>2.23</v>
      </c>
      <c r="AB179">
        <v>0.87</v>
      </c>
      <c r="AC179">
        <v>0.4</v>
      </c>
      <c r="AD179">
        <v>4.13</v>
      </c>
      <c r="AE179">
        <v>0.53</v>
      </c>
      <c r="AF179">
        <v>1.6333333333333331</v>
      </c>
      <c r="AG179" t="str">
        <f>HYPERLINK("https://finance.naver.com/item/fchart.naver?code=039860", "나노엔텍 차트보기")</f>
        <v>나노엔텍 차트보기</v>
      </c>
    </row>
    <row r="180" spans="1:33" x14ac:dyDescent="0.3">
      <c r="A180" t="s">
        <v>747</v>
      </c>
      <c r="B180" t="s">
        <v>34</v>
      </c>
      <c r="C180" t="s">
        <v>748</v>
      </c>
      <c r="D180">
        <v>20540.38</v>
      </c>
      <c r="E180" t="s">
        <v>749</v>
      </c>
      <c r="F180">
        <v>1.72</v>
      </c>
      <c r="G180">
        <v>0.15000000596046451</v>
      </c>
      <c r="H180">
        <v>4500</v>
      </c>
      <c r="I180">
        <v>7.7300000190734863</v>
      </c>
      <c r="J180" t="s">
        <v>750</v>
      </c>
      <c r="K180">
        <v>8630</v>
      </c>
      <c r="L180">
        <v>7760</v>
      </c>
      <c r="M180">
        <v>-10.08</v>
      </c>
      <c r="N180">
        <v>-1.52</v>
      </c>
      <c r="O180">
        <v>-2.83</v>
      </c>
      <c r="P180">
        <v>1.75</v>
      </c>
      <c r="Q180">
        <v>-4.18</v>
      </c>
      <c r="R180">
        <v>-0.36</v>
      </c>
      <c r="S180">
        <v>0.48</v>
      </c>
      <c r="T180">
        <v>0.76</v>
      </c>
      <c r="U180">
        <v>1.08</v>
      </c>
      <c r="V180">
        <v>0.9</v>
      </c>
      <c r="W180">
        <v>1.69</v>
      </c>
      <c r="X180">
        <v>0.97</v>
      </c>
      <c r="Y180">
        <v>1.18</v>
      </c>
      <c r="Z180">
        <v>2</v>
      </c>
      <c r="AA180">
        <v>2.62</v>
      </c>
      <c r="AB180">
        <v>1.94</v>
      </c>
      <c r="AC180">
        <v>2.4700000000000002</v>
      </c>
      <c r="AD180">
        <v>0.37</v>
      </c>
      <c r="AE180">
        <v>0.41</v>
      </c>
      <c r="AF180">
        <v>1.635</v>
      </c>
      <c r="AG180" t="str">
        <f>HYPERLINK("https://finance.naver.com/item/fchart.naver?code=001230", "동국홀딩스 차트보기")</f>
        <v>동국홀딩스 차트보기</v>
      </c>
    </row>
    <row r="181" spans="1:33" x14ac:dyDescent="0.3">
      <c r="A181" t="s">
        <v>751</v>
      </c>
      <c r="B181" t="s">
        <v>55</v>
      </c>
      <c r="C181" t="s">
        <v>752</v>
      </c>
      <c r="D181">
        <v>12276.05</v>
      </c>
      <c r="E181" t="s">
        <v>753</v>
      </c>
      <c r="F181">
        <v>10.49</v>
      </c>
      <c r="G181">
        <v>1.169999957084656</v>
      </c>
      <c r="H181">
        <v>1241</v>
      </c>
      <c r="I181">
        <v>0.61000001430511475</v>
      </c>
      <c r="J181" t="s">
        <v>754</v>
      </c>
      <c r="K181">
        <v>16750</v>
      </c>
      <c r="L181">
        <v>13020</v>
      </c>
      <c r="M181">
        <v>-22.27</v>
      </c>
      <c r="N181">
        <v>-2.1800000000000002</v>
      </c>
      <c r="O181">
        <v>-2.5299999999999998</v>
      </c>
      <c r="P181">
        <v>-1.24</v>
      </c>
      <c r="Q181">
        <v>-3.71</v>
      </c>
      <c r="R181">
        <v>-7.67</v>
      </c>
      <c r="S181">
        <v>-2.69</v>
      </c>
      <c r="T181">
        <v>1.48</v>
      </c>
      <c r="U181">
        <v>1.92</v>
      </c>
      <c r="V181">
        <v>2.4</v>
      </c>
      <c r="W181">
        <v>3.11</v>
      </c>
      <c r="X181">
        <v>2.19</v>
      </c>
      <c r="Y181">
        <v>1.49</v>
      </c>
      <c r="Z181">
        <v>1.47</v>
      </c>
      <c r="AA181">
        <v>1.32</v>
      </c>
      <c r="AB181">
        <v>0.52</v>
      </c>
      <c r="AC181">
        <v>1.19</v>
      </c>
      <c r="AD181">
        <v>3.5</v>
      </c>
      <c r="AE181">
        <v>1.81</v>
      </c>
      <c r="AF181">
        <v>1.635</v>
      </c>
      <c r="AG181" t="str">
        <f>HYPERLINK("https://finance.naver.com/item/fchart.naver?code=079940", "가비아 차트보기")</f>
        <v>가비아 차트보기</v>
      </c>
    </row>
    <row r="182" spans="1:33" x14ac:dyDescent="0.3">
      <c r="A182" t="s">
        <v>755</v>
      </c>
      <c r="B182" t="s">
        <v>55</v>
      </c>
      <c r="C182" t="s">
        <v>756</v>
      </c>
      <c r="D182">
        <v>10465.57</v>
      </c>
      <c r="E182" t="s">
        <v>757</v>
      </c>
      <c r="F182">
        <v>38.53</v>
      </c>
      <c r="G182">
        <v>0.37000000476837158</v>
      </c>
      <c r="H182">
        <v>92</v>
      </c>
      <c r="I182">
        <v>4.2300000190734863</v>
      </c>
      <c r="J182" t="s">
        <v>758</v>
      </c>
      <c r="K182">
        <v>4725</v>
      </c>
      <c r="L182">
        <v>3545</v>
      </c>
      <c r="M182">
        <v>-24.97</v>
      </c>
      <c r="N182">
        <v>-1.53</v>
      </c>
      <c r="O182">
        <v>-3.56</v>
      </c>
      <c r="P182">
        <v>0.13</v>
      </c>
      <c r="Q182">
        <v>-6.82</v>
      </c>
      <c r="R182">
        <v>-1.88</v>
      </c>
      <c r="S182">
        <v>-3.06</v>
      </c>
      <c r="T182">
        <v>1.36</v>
      </c>
      <c r="U182">
        <v>1.51</v>
      </c>
      <c r="V182">
        <v>1.56</v>
      </c>
      <c r="W182">
        <v>4.09</v>
      </c>
      <c r="X182">
        <v>0.71</v>
      </c>
      <c r="Y182">
        <v>1.55</v>
      </c>
      <c r="Z182">
        <v>1.1200000000000001</v>
      </c>
      <c r="AA182">
        <v>2.36</v>
      </c>
      <c r="AB182">
        <v>0.08</v>
      </c>
      <c r="AC182">
        <v>1.67</v>
      </c>
      <c r="AD182">
        <v>2.65</v>
      </c>
      <c r="AE182">
        <v>1.97</v>
      </c>
      <c r="AF182">
        <v>1.6416666666666671</v>
      </c>
      <c r="AG182" t="str">
        <f>HYPERLINK("https://finance.naver.com/item/fchart.naver?code=024120", "KB오토시스 차트보기")</f>
        <v>KB오토시스 차트보기</v>
      </c>
    </row>
    <row r="183" spans="1:33" x14ac:dyDescent="0.3">
      <c r="A183" t="s">
        <v>759</v>
      </c>
      <c r="B183" t="s">
        <v>34</v>
      </c>
      <c r="C183" t="s">
        <v>760</v>
      </c>
      <c r="D183">
        <v>14244.57</v>
      </c>
      <c r="E183" t="s">
        <v>761</v>
      </c>
      <c r="F183">
        <v>16900</v>
      </c>
      <c r="G183">
        <v>0.40999999642372131</v>
      </c>
      <c r="H183">
        <v>3</v>
      </c>
      <c r="I183">
        <v>5.9200000762939453</v>
      </c>
      <c r="J183" t="s">
        <v>762</v>
      </c>
      <c r="K183">
        <v>46528</v>
      </c>
      <c r="L183">
        <v>50700</v>
      </c>
      <c r="M183">
        <v>8.9700000000000006</v>
      </c>
      <c r="N183">
        <v>0.6</v>
      </c>
      <c r="O183">
        <v>-1.78</v>
      </c>
      <c r="P183">
        <v>6.04</v>
      </c>
      <c r="Q183">
        <v>9.07</v>
      </c>
      <c r="R183">
        <v>0.88</v>
      </c>
      <c r="S183">
        <v>-1.67</v>
      </c>
      <c r="T183">
        <v>1.99</v>
      </c>
      <c r="U183">
        <v>1.45</v>
      </c>
      <c r="V183">
        <v>1.9</v>
      </c>
      <c r="W183">
        <v>2.7</v>
      </c>
      <c r="X183">
        <v>3.08</v>
      </c>
      <c r="Y183">
        <v>1.1100000000000001</v>
      </c>
      <c r="Z183">
        <v>0.3</v>
      </c>
      <c r="AA183">
        <v>1.23</v>
      </c>
      <c r="AB183">
        <v>3.18</v>
      </c>
      <c r="AC183">
        <v>3.36</v>
      </c>
      <c r="AD183">
        <v>0.28999999999999998</v>
      </c>
      <c r="AE183">
        <v>1.5</v>
      </c>
      <c r="AF183">
        <v>1.6433333333333331</v>
      </c>
      <c r="AG183" t="str">
        <f>HYPERLINK("https://finance.naver.com/item/fchart.naver?code=004800", "효성 차트보기")</f>
        <v>효성 차트보기</v>
      </c>
    </row>
    <row r="184" spans="1:33" x14ac:dyDescent="0.3">
      <c r="A184" t="s">
        <v>763</v>
      </c>
      <c r="B184" t="s">
        <v>55</v>
      </c>
      <c r="C184" t="s">
        <v>764</v>
      </c>
      <c r="D184">
        <v>114324.19</v>
      </c>
      <c r="E184" t="s">
        <v>765</v>
      </c>
      <c r="F184">
        <v>25.85</v>
      </c>
      <c r="G184">
        <v>0.75999999046325684</v>
      </c>
      <c r="H184">
        <v>153</v>
      </c>
      <c r="I184">
        <v>0.87999999523162842</v>
      </c>
      <c r="J184" t="s">
        <v>766</v>
      </c>
      <c r="K184">
        <v>4435</v>
      </c>
      <c r="L184">
        <v>3955</v>
      </c>
      <c r="M184">
        <v>-10.82</v>
      </c>
      <c r="N184">
        <v>5.75</v>
      </c>
      <c r="O184">
        <v>-1.53</v>
      </c>
      <c r="P184">
        <v>-1.1000000000000001</v>
      </c>
      <c r="Q184">
        <v>-16.29</v>
      </c>
      <c r="R184">
        <v>5.31</v>
      </c>
      <c r="S184">
        <v>0.77</v>
      </c>
      <c r="T184">
        <v>2.6</v>
      </c>
      <c r="U184">
        <v>1.54</v>
      </c>
      <c r="V184">
        <v>5.04</v>
      </c>
      <c r="W184">
        <v>4.12</v>
      </c>
      <c r="X184">
        <v>2.27</v>
      </c>
      <c r="Y184">
        <v>4.5999999999999996</v>
      </c>
      <c r="Z184">
        <v>2.21</v>
      </c>
      <c r="AA184">
        <v>0.99</v>
      </c>
      <c r="AB184">
        <v>0.22</v>
      </c>
      <c r="AC184">
        <v>3.95</v>
      </c>
      <c r="AD184">
        <v>2.34</v>
      </c>
      <c r="AE184">
        <v>0.17</v>
      </c>
      <c r="AF184">
        <v>1.6466666666666669</v>
      </c>
      <c r="AG184" t="str">
        <f>HYPERLINK("https://finance.naver.com/item/fchart.naver?code=100660", "서암기계공업 차트보기")</f>
        <v>서암기계공업 차트보기</v>
      </c>
    </row>
    <row r="185" spans="1:33" x14ac:dyDescent="0.3">
      <c r="A185" t="s">
        <v>767</v>
      </c>
      <c r="B185" t="s">
        <v>34</v>
      </c>
      <c r="C185" t="s">
        <v>768</v>
      </c>
      <c r="D185">
        <v>505.1</v>
      </c>
      <c r="E185" t="s">
        <v>769</v>
      </c>
      <c r="F185">
        <v>4.63</v>
      </c>
      <c r="G185">
        <v>0.25999999046325678</v>
      </c>
      <c r="H185">
        <v>15091</v>
      </c>
      <c r="I185">
        <v>0.72000002861022949</v>
      </c>
      <c r="J185" t="s">
        <v>770</v>
      </c>
      <c r="K185">
        <v>67600</v>
      </c>
      <c r="L185">
        <v>69900</v>
      </c>
      <c r="M185">
        <v>3.4</v>
      </c>
      <c r="N185">
        <v>0.28999999999999998</v>
      </c>
      <c r="O185">
        <v>2.65</v>
      </c>
      <c r="P185">
        <v>-0.15</v>
      </c>
      <c r="Q185">
        <v>-1.46</v>
      </c>
      <c r="R185">
        <v>-2.15</v>
      </c>
      <c r="S185">
        <v>-1.41</v>
      </c>
      <c r="T185">
        <v>0.37</v>
      </c>
      <c r="U185">
        <v>0.71</v>
      </c>
      <c r="V185">
        <v>0.62</v>
      </c>
      <c r="W185">
        <v>1.87</v>
      </c>
      <c r="X185">
        <v>0.78</v>
      </c>
      <c r="Y185">
        <v>0.88</v>
      </c>
      <c r="Z185">
        <v>0.78</v>
      </c>
      <c r="AA185">
        <v>3.73</v>
      </c>
      <c r="AB185">
        <v>0.24</v>
      </c>
      <c r="AC185">
        <v>0.78</v>
      </c>
      <c r="AD185">
        <v>2.76</v>
      </c>
      <c r="AE185">
        <v>1.6</v>
      </c>
      <c r="AF185">
        <v>1.648333333333333</v>
      </c>
      <c r="AG185" t="str">
        <f>HYPERLINK("https://finance.naver.com/item/fchart.naver?code=000590", "CS홀딩스 차트보기")</f>
        <v>CS홀딩스 차트보기</v>
      </c>
    </row>
    <row r="186" spans="1:33" x14ac:dyDescent="0.3">
      <c r="A186" t="s">
        <v>771</v>
      </c>
      <c r="B186" t="s">
        <v>55</v>
      </c>
      <c r="C186" t="s">
        <v>772</v>
      </c>
      <c r="D186">
        <v>246713.86</v>
      </c>
      <c r="E186" t="s">
        <v>773</v>
      </c>
      <c r="F186">
        <v>25.63</v>
      </c>
      <c r="G186">
        <v>1.139999985694885</v>
      </c>
      <c r="H186">
        <v>126</v>
      </c>
      <c r="I186">
        <v>2.1700000762939449</v>
      </c>
      <c r="J186" t="s">
        <v>774</v>
      </c>
      <c r="K186">
        <v>4100</v>
      </c>
      <c r="L186">
        <v>3230</v>
      </c>
      <c r="M186">
        <v>-21.22</v>
      </c>
      <c r="N186">
        <v>-1.82</v>
      </c>
      <c r="O186">
        <v>-2.15</v>
      </c>
      <c r="P186">
        <v>-0.71</v>
      </c>
      <c r="Q186">
        <v>-8.7200000000000006</v>
      </c>
      <c r="R186">
        <v>-3.74</v>
      </c>
      <c r="S186">
        <v>-1.1200000000000001</v>
      </c>
      <c r="T186">
        <v>2.0499999999999998</v>
      </c>
      <c r="U186">
        <v>0.98</v>
      </c>
      <c r="V186">
        <v>1.96</v>
      </c>
      <c r="W186">
        <v>3.68</v>
      </c>
      <c r="X186">
        <v>1.1399999999999999</v>
      </c>
      <c r="Y186">
        <v>1.4</v>
      </c>
      <c r="Z186">
        <v>0.89</v>
      </c>
      <c r="AA186">
        <v>2.19</v>
      </c>
      <c r="AB186">
        <v>0.36</v>
      </c>
      <c r="AC186">
        <v>2.37</v>
      </c>
      <c r="AD186">
        <v>3.28</v>
      </c>
      <c r="AE186">
        <v>0.8</v>
      </c>
      <c r="AF186">
        <v>1.648333333333333</v>
      </c>
      <c r="AG186" t="str">
        <f>HYPERLINK("https://finance.naver.com/item/fchart.naver?code=041460", "한국전자인증 차트보기")</f>
        <v>한국전자인증 차트보기</v>
      </c>
    </row>
    <row r="187" spans="1:33" x14ac:dyDescent="0.3">
      <c r="A187" t="s">
        <v>775</v>
      </c>
      <c r="B187" t="s">
        <v>55</v>
      </c>
      <c r="C187" t="s">
        <v>776</v>
      </c>
      <c r="D187">
        <v>970283.14</v>
      </c>
      <c r="E187" t="s">
        <v>777</v>
      </c>
      <c r="F187">
        <v>2156.25</v>
      </c>
      <c r="G187">
        <v>2.7400000095367432</v>
      </c>
      <c r="H187">
        <v>8</v>
      </c>
      <c r="I187">
        <v>0.28999999165534968</v>
      </c>
      <c r="J187" t="s">
        <v>778</v>
      </c>
      <c r="K187">
        <v>19210</v>
      </c>
      <c r="L187">
        <v>17250</v>
      </c>
      <c r="M187">
        <v>-10.199999999999999</v>
      </c>
      <c r="N187">
        <v>-8.24</v>
      </c>
      <c r="O187">
        <v>26.85</v>
      </c>
      <c r="P187">
        <v>-1.49</v>
      </c>
      <c r="Q187">
        <v>-6.22</v>
      </c>
      <c r="R187">
        <v>-1.97</v>
      </c>
      <c r="S187">
        <v>-1.56</v>
      </c>
      <c r="T187">
        <v>3.7</v>
      </c>
      <c r="U187">
        <v>7.58</v>
      </c>
      <c r="V187">
        <v>1.59</v>
      </c>
      <c r="W187">
        <v>4.5199999999999996</v>
      </c>
      <c r="X187">
        <v>1.99</v>
      </c>
      <c r="Y187">
        <v>1.93</v>
      </c>
      <c r="Z187">
        <v>2.23</v>
      </c>
      <c r="AA187">
        <v>3.54</v>
      </c>
      <c r="AB187">
        <v>0.94</v>
      </c>
      <c r="AC187">
        <v>1.38</v>
      </c>
      <c r="AD187">
        <v>0.99</v>
      </c>
      <c r="AE187">
        <v>0.81</v>
      </c>
      <c r="AF187">
        <v>1.648333333333333</v>
      </c>
      <c r="AG187" t="str">
        <f>HYPERLINK("https://finance.naver.com/item/fchart.naver?code=032300", "한국파마 차트보기")</f>
        <v>한국파마 차트보기</v>
      </c>
    </row>
    <row r="188" spans="1:33" x14ac:dyDescent="0.3">
      <c r="A188" t="s">
        <v>779</v>
      </c>
      <c r="B188" t="s">
        <v>55</v>
      </c>
      <c r="C188" t="s">
        <v>780</v>
      </c>
      <c r="D188">
        <v>1637971.52</v>
      </c>
      <c r="E188" t="s">
        <v>781</v>
      </c>
      <c r="F188">
        <v>0</v>
      </c>
      <c r="G188">
        <v>3.5</v>
      </c>
      <c r="H188">
        <v>0</v>
      </c>
      <c r="I188">
        <v>1.029999971389771</v>
      </c>
      <c r="J188" t="s">
        <v>782</v>
      </c>
      <c r="K188">
        <v>10220</v>
      </c>
      <c r="L188">
        <v>14630</v>
      </c>
      <c r="M188">
        <v>43.15</v>
      </c>
      <c r="N188">
        <v>-5.92</v>
      </c>
      <c r="O188">
        <v>45.3</v>
      </c>
      <c r="P188">
        <v>20.87</v>
      </c>
      <c r="Q188">
        <v>0.19</v>
      </c>
      <c r="R188">
        <v>-1.1499999999999999</v>
      </c>
      <c r="S188">
        <v>-0.92</v>
      </c>
      <c r="T188">
        <v>3.8</v>
      </c>
      <c r="U188">
        <v>9.61</v>
      </c>
      <c r="V188">
        <v>7.48</v>
      </c>
      <c r="W188">
        <v>5.45</v>
      </c>
      <c r="X188">
        <v>2.95</v>
      </c>
      <c r="Y188">
        <v>2.15</v>
      </c>
      <c r="Z188">
        <v>1.56</v>
      </c>
      <c r="AA188">
        <v>4.71</v>
      </c>
      <c r="AB188">
        <v>2.79</v>
      </c>
      <c r="AC188">
        <v>0.03</v>
      </c>
      <c r="AD188">
        <v>0.39</v>
      </c>
      <c r="AE188">
        <v>0.43</v>
      </c>
      <c r="AF188">
        <v>1.651666666666666</v>
      </c>
      <c r="AG188" t="str">
        <f>HYPERLINK("https://finance.naver.com/item/fchart.naver?code=067080", "대화제약 차트보기")</f>
        <v>대화제약 차트보기</v>
      </c>
    </row>
    <row r="189" spans="1:33" x14ac:dyDescent="0.3">
      <c r="A189" t="s">
        <v>783</v>
      </c>
      <c r="B189" t="s">
        <v>55</v>
      </c>
      <c r="C189" t="s">
        <v>784</v>
      </c>
      <c r="D189">
        <v>2624732.62</v>
      </c>
      <c r="E189" t="s">
        <v>785</v>
      </c>
      <c r="F189">
        <v>0</v>
      </c>
      <c r="G189">
        <v>6.3600001335144043</v>
      </c>
      <c r="H189">
        <v>0</v>
      </c>
      <c r="I189">
        <v>0</v>
      </c>
      <c r="J189" t="s">
        <v>786</v>
      </c>
      <c r="K189">
        <v>2360</v>
      </c>
      <c r="L189">
        <v>2460</v>
      </c>
      <c r="M189">
        <v>4.24</v>
      </c>
      <c r="N189">
        <v>-9.56</v>
      </c>
      <c r="O189">
        <v>6.59</v>
      </c>
      <c r="P189">
        <v>25.24</v>
      </c>
      <c r="Q189">
        <v>-3.79</v>
      </c>
      <c r="R189">
        <v>-12.2</v>
      </c>
      <c r="S189">
        <v>7.66</v>
      </c>
      <c r="T189">
        <v>19.41</v>
      </c>
      <c r="U189">
        <v>4.13</v>
      </c>
      <c r="V189">
        <v>6.85</v>
      </c>
      <c r="W189">
        <v>7.06</v>
      </c>
      <c r="X189">
        <v>4.78</v>
      </c>
      <c r="Y189">
        <v>7.3</v>
      </c>
      <c r="Z189">
        <v>0.49</v>
      </c>
      <c r="AA189">
        <v>1.6</v>
      </c>
      <c r="AB189">
        <v>3.68</v>
      </c>
      <c r="AC189">
        <v>0.54</v>
      </c>
      <c r="AD189">
        <v>2.5499999999999998</v>
      </c>
      <c r="AE189">
        <v>1.05</v>
      </c>
      <c r="AF189">
        <v>1.6516666666666671</v>
      </c>
      <c r="AG189" t="str">
        <f>HYPERLINK("https://finance.naver.com/item/fchart.naver?code=340360", "다보링크 차트보기")</f>
        <v>다보링크 차트보기</v>
      </c>
    </row>
    <row r="190" spans="1:33" x14ac:dyDescent="0.3">
      <c r="A190" t="s">
        <v>787</v>
      </c>
      <c r="B190" t="s">
        <v>55</v>
      </c>
      <c r="C190" t="s">
        <v>788</v>
      </c>
      <c r="D190">
        <v>77107.240000000005</v>
      </c>
      <c r="E190" t="s">
        <v>789</v>
      </c>
      <c r="F190">
        <v>0</v>
      </c>
      <c r="G190">
        <v>2.0399999618530269</v>
      </c>
      <c r="H190">
        <v>0</v>
      </c>
      <c r="I190">
        <v>0</v>
      </c>
      <c r="J190" t="s">
        <v>790</v>
      </c>
      <c r="K190">
        <v>2630</v>
      </c>
      <c r="L190">
        <v>2995</v>
      </c>
      <c r="M190">
        <v>13.88</v>
      </c>
      <c r="N190">
        <v>-4.92</v>
      </c>
      <c r="O190">
        <v>-7.02</v>
      </c>
      <c r="P190">
        <v>-6.4</v>
      </c>
      <c r="Q190">
        <v>5.51</v>
      </c>
      <c r="R190">
        <v>2.88</v>
      </c>
      <c r="S190">
        <v>-13.83</v>
      </c>
      <c r="T190">
        <v>2.87</v>
      </c>
      <c r="U190">
        <v>2.37</v>
      </c>
      <c r="V190">
        <v>8.65</v>
      </c>
      <c r="W190">
        <v>4.8</v>
      </c>
      <c r="X190">
        <v>5.38</v>
      </c>
      <c r="Y190">
        <v>4.93</v>
      </c>
      <c r="Z190">
        <v>1.71</v>
      </c>
      <c r="AA190">
        <v>2.96</v>
      </c>
      <c r="AB190">
        <v>0.74</v>
      </c>
      <c r="AC190">
        <v>1.1499999999999999</v>
      </c>
      <c r="AD190">
        <v>0.54</v>
      </c>
      <c r="AE190">
        <v>2.81</v>
      </c>
      <c r="AF190">
        <v>1.6516666666666671</v>
      </c>
      <c r="AG190" t="str">
        <f>HYPERLINK("https://finance.naver.com/item/fchart.naver?code=179530", "애드바이오텍 차트보기")</f>
        <v>애드바이오텍 차트보기</v>
      </c>
    </row>
    <row r="191" spans="1:33" x14ac:dyDescent="0.3">
      <c r="A191" t="s">
        <v>791</v>
      </c>
      <c r="B191" t="s">
        <v>34</v>
      </c>
      <c r="C191" t="s">
        <v>792</v>
      </c>
      <c r="D191">
        <v>55636.52</v>
      </c>
      <c r="E191" t="s">
        <v>793</v>
      </c>
      <c r="F191">
        <v>8.26</v>
      </c>
      <c r="G191">
        <v>0.72000002861022949</v>
      </c>
      <c r="H191">
        <v>15563</v>
      </c>
      <c r="I191">
        <v>2.3299999237060551</v>
      </c>
      <c r="J191" t="s">
        <v>794</v>
      </c>
      <c r="K191">
        <v>133500</v>
      </c>
      <c r="L191">
        <v>128600</v>
      </c>
      <c r="M191">
        <v>-3.67</v>
      </c>
      <c r="N191">
        <v>-3.16</v>
      </c>
      <c r="O191">
        <v>2.83</v>
      </c>
      <c r="P191">
        <v>-3.56</v>
      </c>
      <c r="Q191">
        <v>-0.52</v>
      </c>
      <c r="R191">
        <v>7.36</v>
      </c>
      <c r="S191">
        <v>-3.89</v>
      </c>
      <c r="T191">
        <v>2.08</v>
      </c>
      <c r="U191">
        <v>1.6</v>
      </c>
      <c r="V191">
        <v>2.5099999999999998</v>
      </c>
      <c r="W191">
        <v>2.91</v>
      </c>
      <c r="X191">
        <v>2.42</v>
      </c>
      <c r="Y191">
        <v>1.94</v>
      </c>
      <c r="Z191">
        <v>1.52</v>
      </c>
      <c r="AA191">
        <v>1.77</v>
      </c>
      <c r="AB191">
        <v>1.42</v>
      </c>
      <c r="AC191">
        <v>0.18</v>
      </c>
      <c r="AD191">
        <v>3.04</v>
      </c>
      <c r="AE191">
        <v>2.0099999999999998</v>
      </c>
      <c r="AF191">
        <v>1.656666666666667</v>
      </c>
      <c r="AG191" t="str">
        <f>HYPERLINK("https://finance.naver.com/item/fchart.naver?code=039490", "키움증권 차트보기")</f>
        <v>키움증권 차트보기</v>
      </c>
    </row>
    <row r="192" spans="1:33" x14ac:dyDescent="0.3">
      <c r="A192" t="s">
        <v>795</v>
      </c>
      <c r="B192" t="s">
        <v>55</v>
      </c>
      <c r="C192" t="s">
        <v>796</v>
      </c>
      <c r="D192">
        <v>3649.76</v>
      </c>
      <c r="E192" t="s">
        <v>797</v>
      </c>
      <c r="F192">
        <v>6.02</v>
      </c>
      <c r="G192">
        <v>0.40000000596046448</v>
      </c>
      <c r="H192">
        <v>622</v>
      </c>
      <c r="I192">
        <v>5.3400001525878906</v>
      </c>
      <c r="J192" t="s">
        <v>798</v>
      </c>
      <c r="K192">
        <v>3835</v>
      </c>
      <c r="L192">
        <v>3745</v>
      </c>
      <c r="M192">
        <v>-2.35</v>
      </c>
      <c r="N192">
        <v>-1.71</v>
      </c>
      <c r="O192">
        <v>1.48</v>
      </c>
      <c r="P192">
        <v>2.62</v>
      </c>
      <c r="Q192">
        <v>-2.1800000000000002</v>
      </c>
      <c r="R192">
        <v>-0.4</v>
      </c>
      <c r="S192">
        <v>0.67</v>
      </c>
      <c r="T192">
        <v>0.59</v>
      </c>
      <c r="U192">
        <v>0.8</v>
      </c>
      <c r="V192">
        <v>1.1399999999999999</v>
      </c>
      <c r="W192">
        <v>1.65</v>
      </c>
      <c r="X192">
        <v>0.64</v>
      </c>
      <c r="Y192">
        <v>0.7</v>
      </c>
      <c r="Z192">
        <v>2.9</v>
      </c>
      <c r="AA192">
        <v>1.85</v>
      </c>
      <c r="AB192">
        <v>2.2999999999999998</v>
      </c>
      <c r="AC192">
        <v>1.32</v>
      </c>
      <c r="AD192">
        <v>0.62</v>
      </c>
      <c r="AE192">
        <v>0.96</v>
      </c>
      <c r="AF192">
        <v>1.658333333333333</v>
      </c>
      <c r="AG192" t="str">
        <f>HYPERLINK("https://finance.naver.com/item/fchart.naver?code=051390", "YW 차트보기")</f>
        <v>YW 차트보기</v>
      </c>
    </row>
    <row r="193" spans="1:33" x14ac:dyDescent="0.3">
      <c r="A193" t="s">
        <v>799</v>
      </c>
      <c r="B193" t="s">
        <v>55</v>
      </c>
      <c r="C193" t="s">
        <v>800</v>
      </c>
      <c r="D193">
        <v>110309.33</v>
      </c>
      <c r="E193" t="s">
        <v>801</v>
      </c>
      <c r="F193">
        <v>52.04</v>
      </c>
      <c r="G193">
        <v>2.5199999809265141</v>
      </c>
      <c r="H193">
        <v>108</v>
      </c>
      <c r="I193">
        <v>0</v>
      </c>
      <c r="J193" t="s">
        <v>802</v>
      </c>
      <c r="K193">
        <v>6960</v>
      </c>
      <c r="L193">
        <v>5620</v>
      </c>
      <c r="M193">
        <v>-19.25</v>
      </c>
      <c r="N193">
        <v>-5.23</v>
      </c>
      <c r="O193">
        <v>-5.34</v>
      </c>
      <c r="P193">
        <v>-0.77</v>
      </c>
      <c r="Q193">
        <v>-1.03</v>
      </c>
      <c r="R193">
        <v>7.54</v>
      </c>
      <c r="S193">
        <v>0</v>
      </c>
      <c r="T193">
        <v>2.68</v>
      </c>
      <c r="U193">
        <v>1.64</v>
      </c>
      <c r="V193">
        <v>1.86</v>
      </c>
      <c r="W193">
        <v>3.73</v>
      </c>
      <c r="X193">
        <v>1.86</v>
      </c>
      <c r="Y193">
        <v>2.76</v>
      </c>
      <c r="Z193">
        <v>1.95</v>
      </c>
      <c r="AA193">
        <v>3.26</v>
      </c>
      <c r="AB193">
        <v>0.41</v>
      </c>
      <c r="AC193">
        <v>0.28000000000000003</v>
      </c>
      <c r="AD193">
        <v>4.05</v>
      </c>
      <c r="AE193">
        <v>0</v>
      </c>
      <c r="AF193">
        <v>1.658333333333333</v>
      </c>
      <c r="AG193" t="str">
        <f>HYPERLINK("https://finance.naver.com/item/fchart.naver?code=086890", "이수앱지스 차트보기")</f>
        <v>이수앱지스 차트보기</v>
      </c>
    </row>
    <row r="194" spans="1:33" x14ac:dyDescent="0.3">
      <c r="A194" t="s">
        <v>803</v>
      </c>
      <c r="B194" t="s">
        <v>34</v>
      </c>
      <c r="C194" t="s">
        <v>804</v>
      </c>
      <c r="D194">
        <v>1181.29</v>
      </c>
      <c r="E194" t="s">
        <v>805</v>
      </c>
      <c r="F194">
        <v>16.28</v>
      </c>
      <c r="G194">
        <v>0.2199999988079071</v>
      </c>
      <c r="H194">
        <v>557</v>
      </c>
      <c r="I194">
        <v>1.6499999761581421</v>
      </c>
      <c r="J194" t="s">
        <v>806</v>
      </c>
      <c r="K194">
        <v>9320</v>
      </c>
      <c r="L194">
        <v>9070</v>
      </c>
      <c r="M194">
        <v>-2.68</v>
      </c>
      <c r="N194">
        <v>-4.0199999999999996</v>
      </c>
      <c r="O194">
        <v>-0.98</v>
      </c>
      <c r="P194">
        <v>1.0900000000000001</v>
      </c>
      <c r="Q194">
        <v>1.43</v>
      </c>
      <c r="R194">
        <v>-1.21</v>
      </c>
      <c r="S194">
        <v>-2.36</v>
      </c>
      <c r="T194">
        <v>2.08</v>
      </c>
      <c r="U194">
        <v>0.8</v>
      </c>
      <c r="V194">
        <v>1.21</v>
      </c>
      <c r="W194">
        <v>1.73</v>
      </c>
      <c r="X194">
        <v>0.56999999999999995</v>
      </c>
      <c r="Y194">
        <v>0.8</v>
      </c>
      <c r="Z194">
        <v>1.93</v>
      </c>
      <c r="AA194">
        <v>1.22</v>
      </c>
      <c r="AB194">
        <v>0.9</v>
      </c>
      <c r="AC194">
        <v>0.83</v>
      </c>
      <c r="AD194">
        <v>2.12</v>
      </c>
      <c r="AE194">
        <v>2.95</v>
      </c>
      <c r="AF194">
        <v>1.658333333333333</v>
      </c>
      <c r="AG194" t="str">
        <f>HYPERLINK("https://finance.naver.com/item/fchart.naver?code=005800", "신영와코루 차트보기")</f>
        <v>신영와코루 차트보기</v>
      </c>
    </row>
    <row r="195" spans="1:33" x14ac:dyDescent="0.3">
      <c r="A195" t="s">
        <v>807</v>
      </c>
      <c r="B195" t="s">
        <v>55</v>
      </c>
      <c r="C195" t="s">
        <v>808</v>
      </c>
      <c r="D195">
        <v>4470.57</v>
      </c>
      <c r="E195" t="s">
        <v>809</v>
      </c>
      <c r="F195">
        <v>18.399999999999999</v>
      </c>
      <c r="G195">
        <v>0.63999998569488525</v>
      </c>
      <c r="H195">
        <v>592</v>
      </c>
      <c r="I195">
        <v>0.31999999284744263</v>
      </c>
      <c r="J195" t="s">
        <v>810</v>
      </c>
      <c r="K195">
        <v>12470</v>
      </c>
      <c r="L195">
        <v>10890</v>
      </c>
      <c r="M195">
        <v>-12.67</v>
      </c>
      <c r="N195">
        <v>-1.71</v>
      </c>
      <c r="O195">
        <v>-1.93</v>
      </c>
      <c r="P195">
        <v>-0.61</v>
      </c>
      <c r="Q195">
        <v>0.26</v>
      </c>
      <c r="R195">
        <v>-1.98</v>
      </c>
      <c r="S195">
        <v>-4.57</v>
      </c>
      <c r="T195">
        <v>1.1599999999999999</v>
      </c>
      <c r="U195">
        <v>1.1499999999999999</v>
      </c>
      <c r="V195">
        <v>1</v>
      </c>
      <c r="W195">
        <v>1.75</v>
      </c>
      <c r="X195">
        <v>0.87</v>
      </c>
      <c r="Y195">
        <v>1.21</v>
      </c>
      <c r="Z195">
        <v>1.47</v>
      </c>
      <c r="AA195">
        <v>1.68</v>
      </c>
      <c r="AB195">
        <v>0.61</v>
      </c>
      <c r="AC195">
        <v>0.15</v>
      </c>
      <c r="AD195">
        <v>2.2799999999999998</v>
      </c>
      <c r="AE195">
        <v>3.78</v>
      </c>
      <c r="AF195">
        <v>1.661666666666666</v>
      </c>
      <c r="AG195" t="str">
        <f>HYPERLINK("https://finance.naver.com/item/fchart.naver?code=032960", "동일기연 차트보기")</f>
        <v>동일기연 차트보기</v>
      </c>
    </row>
    <row r="196" spans="1:33" x14ac:dyDescent="0.3">
      <c r="A196" t="s">
        <v>811</v>
      </c>
      <c r="B196" t="s">
        <v>34</v>
      </c>
      <c r="C196" t="s">
        <v>812</v>
      </c>
      <c r="D196">
        <v>335461.67</v>
      </c>
      <c r="E196" t="s">
        <v>813</v>
      </c>
      <c r="F196">
        <v>0</v>
      </c>
      <c r="G196">
        <v>0.31000000238418579</v>
      </c>
      <c r="H196">
        <v>0</v>
      </c>
      <c r="I196">
        <v>4.2300000190734863</v>
      </c>
      <c r="J196" t="s">
        <v>814</v>
      </c>
      <c r="K196">
        <v>4275</v>
      </c>
      <c r="L196">
        <v>4730</v>
      </c>
      <c r="M196">
        <v>10.64</v>
      </c>
      <c r="N196">
        <v>-0.53</v>
      </c>
      <c r="O196">
        <v>4.4400000000000004</v>
      </c>
      <c r="P196">
        <v>0.11</v>
      </c>
      <c r="Q196">
        <v>12.68</v>
      </c>
      <c r="R196">
        <v>-2.2599999999999998</v>
      </c>
      <c r="S196">
        <v>-1.0900000000000001</v>
      </c>
      <c r="T196">
        <v>1.7</v>
      </c>
      <c r="U196">
        <v>1.26</v>
      </c>
      <c r="V196">
        <v>1.8</v>
      </c>
      <c r="W196">
        <v>7</v>
      </c>
      <c r="X196">
        <v>0.84</v>
      </c>
      <c r="Y196">
        <v>0.69</v>
      </c>
      <c r="Z196">
        <v>0.31</v>
      </c>
      <c r="AA196">
        <v>3.52</v>
      </c>
      <c r="AB196">
        <v>0.06</v>
      </c>
      <c r="AC196">
        <v>1.81</v>
      </c>
      <c r="AD196">
        <v>2.69</v>
      </c>
      <c r="AE196">
        <v>1.58</v>
      </c>
      <c r="AF196">
        <v>1.6616666666666671</v>
      </c>
      <c r="AG196" t="str">
        <f>HYPERLINK("https://finance.naver.com/item/fchart.naver?code=377740", "바이오노트 차트보기")</f>
        <v>바이오노트 차트보기</v>
      </c>
    </row>
    <row r="197" spans="1:33" x14ac:dyDescent="0.3">
      <c r="A197" t="s">
        <v>815</v>
      </c>
      <c r="B197" t="s">
        <v>55</v>
      </c>
      <c r="C197" t="s">
        <v>816</v>
      </c>
      <c r="D197">
        <v>13622.81</v>
      </c>
      <c r="E197" t="s">
        <v>817</v>
      </c>
      <c r="F197">
        <v>11.32</v>
      </c>
      <c r="G197">
        <v>0.44999998807907099</v>
      </c>
      <c r="H197">
        <v>645</v>
      </c>
      <c r="I197">
        <v>2.7400000095367432</v>
      </c>
      <c r="J197" t="s">
        <v>818</v>
      </c>
      <c r="K197">
        <v>8140</v>
      </c>
      <c r="L197">
        <v>7300</v>
      </c>
      <c r="M197">
        <v>-10.32</v>
      </c>
      <c r="N197">
        <v>0.69</v>
      </c>
      <c r="O197">
        <v>-1.63</v>
      </c>
      <c r="P197">
        <v>-0.4</v>
      </c>
      <c r="Q197">
        <v>-4.34</v>
      </c>
      <c r="R197">
        <v>-1.89</v>
      </c>
      <c r="S197">
        <v>-0.37</v>
      </c>
      <c r="T197">
        <v>0.51</v>
      </c>
      <c r="U197">
        <v>1.19</v>
      </c>
      <c r="V197">
        <v>1.07</v>
      </c>
      <c r="W197">
        <v>1.5</v>
      </c>
      <c r="X197">
        <v>0.56999999999999995</v>
      </c>
      <c r="Y197">
        <v>0.55000000000000004</v>
      </c>
      <c r="Z197">
        <v>1.35</v>
      </c>
      <c r="AA197">
        <v>1.37</v>
      </c>
      <c r="AB197">
        <v>0.37</v>
      </c>
      <c r="AC197">
        <v>2.89</v>
      </c>
      <c r="AD197">
        <v>3.32</v>
      </c>
      <c r="AE197">
        <v>0.67</v>
      </c>
      <c r="AF197">
        <v>1.6616666666666671</v>
      </c>
      <c r="AG197" t="str">
        <f>HYPERLINK("https://finance.naver.com/item/fchart.naver?code=054050", "농우바이오 차트보기")</f>
        <v>농우바이오 차트보기</v>
      </c>
    </row>
    <row r="198" spans="1:33" x14ac:dyDescent="0.3">
      <c r="A198" t="s">
        <v>819</v>
      </c>
      <c r="B198" t="s">
        <v>55</v>
      </c>
      <c r="C198" t="s">
        <v>820</v>
      </c>
      <c r="D198">
        <v>39648.71</v>
      </c>
      <c r="E198" t="s">
        <v>821</v>
      </c>
      <c r="F198">
        <v>6.2</v>
      </c>
      <c r="G198">
        <v>0.5899999737739563</v>
      </c>
      <c r="H198">
        <v>610</v>
      </c>
      <c r="I198">
        <v>1.5900000333786011</v>
      </c>
      <c r="J198" t="s">
        <v>822</v>
      </c>
      <c r="K198">
        <v>3295</v>
      </c>
      <c r="L198">
        <v>3785</v>
      </c>
      <c r="M198">
        <v>14.87</v>
      </c>
      <c r="N198">
        <v>1.75</v>
      </c>
      <c r="O198">
        <v>2.14</v>
      </c>
      <c r="P198">
        <v>0.94</v>
      </c>
      <c r="Q198">
        <v>-8.84</v>
      </c>
      <c r="R198">
        <v>18.5</v>
      </c>
      <c r="S198">
        <v>1.41</v>
      </c>
      <c r="T198">
        <v>2.5299999999999998</v>
      </c>
      <c r="U198">
        <v>1.77</v>
      </c>
      <c r="V198">
        <v>2.2200000000000002</v>
      </c>
      <c r="W198">
        <v>3.23</v>
      </c>
      <c r="X198">
        <v>4.51</v>
      </c>
      <c r="Y198">
        <v>1.72</v>
      </c>
      <c r="Z198">
        <v>0.69</v>
      </c>
      <c r="AA198">
        <v>1.21</v>
      </c>
      <c r="AB198">
        <v>0.42</v>
      </c>
      <c r="AC198">
        <v>2.74</v>
      </c>
      <c r="AD198">
        <v>4.0999999999999996</v>
      </c>
      <c r="AE198">
        <v>0.82</v>
      </c>
      <c r="AF198">
        <v>1.6633333333333331</v>
      </c>
      <c r="AG198" t="str">
        <f>HYPERLINK("https://finance.naver.com/item/fchart.naver?code=192390", "윈하이텍 차트보기")</f>
        <v>윈하이텍 차트보기</v>
      </c>
    </row>
    <row r="199" spans="1:33" x14ac:dyDescent="0.3">
      <c r="A199" t="s">
        <v>823</v>
      </c>
      <c r="B199" t="s">
        <v>55</v>
      </c>
      <c r="C199" t="s">
        <v>824</v>
      </c>
      <c r="D199">
        <v>62973.57</v>
      </c>
      <c r="E199" t="s">
        <v>825</v>
      </c>
      <c r="F199">
        <v>7.72</v>
      </c>
      <c r="G199">
        <v>0.72000002861022949</v>
      </c>
      <c r="H199">
        <v>1955</v>
      </c>
      <c r="I199">
        <v>1.9900000095367429</v>
      </c>
      <c r="J199" t="s">
        <v>826</v>
      </c>
      <c r="K199">
        <v>16690</v>
      </c>
      <c r="L199">
        <v>15100</v>
      </c>
      <c r="M199">
        <v>-9.5299999999999994</v>
      </c>
      <c r="N199">
        <v>-11.02</v>
      </c>
      <c r="O199">
        <v>-0.99</v>
      </c>
      <c r="P199">
        <v>-0.35</v>
      </c>
      <c r="Q199">
        <v>6.84</v>
      </c>
      <c r="R199">
        <v>3.92</v>
      </c>
      <c r="S199">
        <v>2.39</v>
      </c>
      <c r="T199">
        <v>2.46</v>
      </c>
      <c r="U199">
        <v>2.0499999999999998</v>
      </c>
      <c r="V199">
        <v>2.86</v>
      </c>
      <c r="W199">
        <v>4.2</v>
      </c>
      <c r="X199">
        <v>1.83</v>
      </c>
      <c r="Y199">
        <v>2.09</v>
      </c>
      <c r="Z199">
        <v>4.4800000000000004</v>
      </c>
      <c r="AA199">
        <v>0.48</v>
      </c>
      <c r="AB199">
        <v>0.12</v>
      </c>
      <c r="AC199">
        <v>1.63</v>
      </c>
      <c r="AD199">
        <v>2.14</v>
      </c>
      <c r="AE199">
        <v>1.1399999999999999</v>
      </c>
      <c r="AF199">
        <v>1.665</v>
      </c>
      <c r="AG199" t="str">
        <f>HYPERLINK("https://finance.naver.com/item/fchart.naver?code=069080", "웹젠 차트보기")</f>
        <v>웹젠 차트보기</v>
      </c>
    </row>
    <row r="200" spans="1:33" x14ac:dyDescent="0.3">
      <c r="A200" t="s">
        <v>827</v>
      </c>
      <c r="B200" t="s">
        <v>34</v>
      </c>
      <c r="C200" t="s">
        <v>828</v>
      </c>
      <c r="D200">
        <v>40232.86</v>
      </c>
      <c r="E200" t="s">
        <v>829</v>
      </c>
      <c r="F200">
        <v>9.9600000000000009</v>
      </c>
      <c r="G200">
        <v>0.68000000715255737</v>
      </c>
      <c r="H200">
        <v>451</v>
      </c>
      <c r="I200">
        <v>4.4499998092651367</v>
      </c>
      <c r="J200" t="s">
        <v>830</v>
      </c>
      <c r="K200">
        <v>4100</v>
      </c>
      <c r="L200">
        <v>4490</v>
      </c>
      <c r="M200">
        <v>9.51</v>
      </c>
      <c r="N200">
        <v>0.79</v>
      </c>
      <c r="O200">
        <v>2.38</v>
      </c>
      <c r="P200">
        <v>2.17</v>
      </c>
      <c r="Q200">
        <v>3.74</v>
      </c>
      <c r="R200">
        <v>-1.49</v>
      </c>
      <c r="S200">
        <v>-3.83</v>
      </c>
      <c r="T200">
        <v>2.67</v>
      </c>
      <c r="U200">
        <v>0.87</v>
      </c>
      <c r="V200">
        <v>1.36</v>
      </c>
      <c r="W200">
        <v>3.34</v>
      </c>
      <c r="X200">
        <v>1.02</v>
      </c>
      <c r="Y200">
        <v>1.38</v>
      </c>
      <c r="Z200">
        <v>0.3</v>
      </c>
      <c r="AA200">
        <v>2.74</v>
      </c>
      <c r="AB200">
        <v>1.6</v>
      </c>
      <c r="AC200">
        <v>1.1200000000000001</v>
      </c>
      <c r="AD200">
        <v>1.46</v>
      </c>
      <c r="AE200">
        <v>2.78</v>
      </c>
      <c r="AF200">
        <v>1.666666666666667</v>
      </c>
      <c r="AG200" t="str">
        <f>HYPERLINK("https://finance.naver.com/item/fchart.naver?code=244920", "에이플러스에셋 차트보기")</f>
        <v>에이플러스에셋 차트보기</v>
      </c>
    </row>
    <row r="201" spans="1:33" x14ac:dyDescent="0.3">
      <c r="A201" t="s">
        <v>831</v>
      </c>
      <c r="B201" t="s">
        <v>34</v>
      </c>
      <c r="C201" t="s">
        <v>832</v>
      </c>
      <c r="D201">
        <v>371.57</v>
      </c>
      <c r="E201" t="s">
        <v>833</v>
      </c>
      <c r="F201">
        <v>0</v>
      </c>
      <c r="G201">
        <v>0</v>
      </c>
      <c r="H201">
        <v>0</v>
      </c>
      <c r="I201">
        <v>0</v>
      </c>
      <c r="J201" t="s">
        <v>834</v>
      </c>
      <c r="K201">
        <v>14340</v>
      </c>
      <c r="L201">
        <v>11600</v>
      </c>
      <c r="M201">
        <v>-19.11</v>
      </c>
      <c r="N201">
        <v>-3.73</v>
      </c>
      <c r="O201">
        <v>0.08</v>
      </c>
      <c r="P201">
        <v>-7.33</v>
      </c>
      <c r="Q201">
        <v>-1.6</v>
      </c>
      <c r="R201">
        <v>-2.78</v>
      </c>
      <c r="S201">
        <v>1.21</v>
      </c>
      <c r="T201">
        <v>1.99</v>
      </c>
      <c r="U201">
        <v>1.25</v>
      </c>
      <c r="V201">
        <v>1.44</v>
      </c>
      <c r="W201">
        <v>3.53</v>
      </c>
      <c r="X201">
        <v>1.1599999999999999</v>
      </c>
      <c r="Y201">
        <v>8.4700000000000006</v>
      </c>
      <c r="Z201">
        <v>1.87</v>
      </c>
      <c r="AA201">
        <v>0.06</v>
      </c>
      <c r="AB201">
        <v>5.09</v>
      </c>
      <c r="AC201">
        <v>0.45</v>
      </c>
      <c r="AD201">
        <v>2.4</v>
      </c>
      <c r="AE201">
        <v>0.14000000000000001</v>
      </c>
      <c r="AF201">
        <v>1.668333333333333</v>
      </c>
      <c r="AG201" t="str">
        <f>HYPERLINK("https://finance.naver.com/item/fchart.naver?code=004545", "깨끗한나라우 차트보기")</f>
        <v>깨끗한나라우 차트보기</v>
      </c>
    </row>
    <row r="202" spans="1:33" x14ac:dyDescent="0.3">
      <c r="A202" t="s">
        <v>835</v>
      </c>
      <c r="B202" t="s">
        <v>55</v>
      </c>
      <c r="C202" t="s">
        <v>836</v>
      </c>
      <c r="D202">
        <v>2466</v>
      </c>
      <c r="E202" t="s">
        <v>837</v>
      </c>
      <c r="F202">
        <v>34.31</v>
      </c>
      <c r="G202">
        <v>5.0199999809265137</v>
      </c>
      <c r="H202">
        <v>462</v>
      </c>
      <c r="I202">
        <v>0</v>
      </c>
      <c r="J202" t="s">
        <v>838</v>
      </c>
      <c r="K202">
        <v>14990</v>
      </c>
      <c r="L202">
        <v>15850</v>
      </c>
      <c r="M202">
        <v>5.74</v>
      </c>
      <c r="N202">
        <v>0</v>
      </c>
      <c r="O202">
        <v>0</v>
      </c>
      <c r="P202">
        <v>0.89</v>
      </c>
      <c r="Q202">
        <v>11.98</v>
      </c>
      <c r="R202">
        <v>-0.51</v>
      </c>
      <c r="S202">
        <v>1.96</v>
      </c>
      <c r="T202">
        <v>0.11</v>
      </c>
      <c r="U202">
        <v>0.21</v>
      </c>
      <c r="V202">
        <v>0.19</v>
      </c>
      <c r="W202">
        <v>3.04</v>
      </c>
      <c r="X202">
        <v>3.45</v>
      </c>
      <c r="Y202">
        <v>1.53</v>
      </c>
      <c r="Z202">
        <v>0</v>
      </c>
      <c r="AA202">
        <v>0</v>
      </c>
      <c r="AB202">
        <v>4.68</v>
      </c>
      <c r="AC202">
        <v>3.94</v>
      </c>
      <c r="AD202">
        <v>0.15</v>
      </c>
      <c r="AE202">
        <v>1.28</v>
      </c>
      <c r="AF202">
        <v>1.675</v>
      </c>
      <c r="AG202" t="str">
        <f>HYPERLINK("https://finance.naver.com/item/fchart.naver?code=138580", "비즈니스온 차트보기")</f>
        <v>비즈니스온 차트보기</v>
      </c>
    </row>
    <row r="203" spans="1:33" x14ac:dyDescent="0.3">
      <c r="A203" t="s">
        <v>839</v>
      </c>
      <c r="B203" t="s">
        <v>34</v>
      </c>
      <c r="C203" t="s">
        <v>840</v>
      </c>
      <c r="D203">
        <v>2921477.57</v>
      </c>
      <c r="E203" t="s">
        <v>841</v>
      </c>
      <c r="F203">
        <v>3.21</v>
      </c>
      <c r="G203">
        <v>0.36000001430511469</v>
      </c>
      <c r="H203">
        <v>1437</v>
      </c>
      <c r="I203">
        <v>5.4200000762939453</v>
      </c>
      <c r="J203" t="s">
        <v>842</v>
      </c>
      <c r="K203">
        <v>4795</v>
      </c>
      <c r="L203">
        <v>4615</v>
      </c>
      <c r="M203">
        <v>-3.75</v>
      </c>
      <c r="N203">
        <v>-4.45</v>
      </c>
      <c r="O203">
        <v>9.77</v>
      </c>
      <c r="P203">
        <v>-0.66</v>
      </c>
      <c r="Q203">
        <v>-0.65</v>
      </c>
      <c r="R203">
        <v>-3.72</v>
      </c>
      <c r="S203">
        <v>-1.36</v>
      </c>
      <c r="T203">
        <v>1.32</v>
      </c>
      <c r="U203">
        <v>11.39</v>
      </c>
      <c r="V203">
        <v>1.1200000000000001</v>
      </c>
      <c r="W203">
        <v>2.36</v>
      </c>
      <c r="X203">
        <v>1.02</v>
      </c>
      <c r="Y203">
        <v>1.05</v>
      </c>
      <c r="Z203">
        <v>3.37</v>
      </c>
      <c r="AA203">
        <v>0.86</v>
      </c>
      <c r="AB203">
        <v>0.59</v>
      </c>
      <c r="AC203">
        <v>0.28000000000000003</v>
      </c>
      <c r="AD203">
        <v>3.65</v>
      </c>
      <c r="AE203">
        <v>1.3</v>
      </c>
      <c r="AF203">
        <v>1.675</v>
      </c>
      <c r="AG203" t="str">
        <f>HYPERLINK("https://finance.naver.com/item/fchart.naver?code=016450", "한세예스24홀딩스 차트보기")</f>
        <v>한세예스24홀딩스 차트보기</v>
      </c>
    </row>
    <row r="204" spans="1:33" x14ac:dyDescent="0.3">
      <c r="A204" t="s">
        <v>843</v>
      </c>
      <c r="B204" t="s">
        <v>34</v>
      </c>
      <c r="C204" t="s">
        <v>844</v>
      </c>
      <c r="D204">
        <v>502978.43</v>
      </c>
      <c r="E204" t="s">
        <v>845</v>
      </c>
      <c r="F204">
        <v>3.8</v>
      </c>
      <c r="G204">
        <v>0.23000000417232511</v>
      </c>
      <c r="H204">
        <v>2180</v>
      </c>
      <c r="I204">
        <v>6.630000114440918</v>
      </c>
      <c r="J204" t="s">
        <v>846</v>
      </c>
      <c r="K204">
        <v>8560</v>
      </c>
      <c r="L204">
        <v>8290</v>
      </c>
      <c r="M204">
        <v>-3.15</v>
      </c>
      <c r="N204">
        <v>0.85</v>
      </c>
      <c r="O204">
        <v>0.99</v>
      </c>
      <c r="P204">
        <v>-3.58</v>
      </c>
      <c r="Q204">
        <v>1.21</v>
      </c>
      <c r="R204">
        <v>2.13</v>
      </c>
      <c r="S204">
        <v>-1.84</v>
      </c>
      <c r="T204">
        <v>0.36</v>
      </c>
      <c r="U204">
        <v>0.8</v>
      </c>
      <c r="V204">
        <v>1.41</v>
      </c>
      <c r="W204">
        <v>2.16</v>
      </c>
      <c r="X204">
        <v>1.22</v>
      </c>
      <c r="Y204">
        <v>1.1200000000000001</v>
      </c>
      <c r="Z204">
        <v>2.36</v>
      </c>
      <c r="AA204">
        <v>1.24</v>
      </c>
      <c r="AB204">
        <v>2.54</v>
      </c>
      <c r="AC204">
        <v>0.56000000000000005</v>
      </c>
      <c r="AD204">
        <v>1.75</v>
      </c>
      <c r="AE204">
        <v>1.64</v>
      </c>
      <c r="AF204">
        <v>1.6816666666666671</v>
      </c>
      <c r="AG204" t="str">
        <f>HYPERLINK("https://finance.naver.com/item/fchart.naver?code=139130", "DGB금융지주 차트보기")</f>
        <v>DGB금융지주 차트보기</v>
      </c>
    </row>
    <row r="205" spans="1:33" x14ac:dyDescent="0.3">
      <c r="A205" t="s">
        <v>847</v>
      </c>
      <c r="B205" t="s">
        <v>34</v>
      </c>
      <c r="C205" t="s">
        <v>848</v>
      </c>
      <c r="D205">
        <v>38234.33</v>
      </c>
      <c r="E205" t="s">
        <v>849</v>
      </c>
      <c r="F205">
        <v>7.8</v>
      </c>
      <c r="G205">
        <v>0.79000002145767212</v>
      </c>
      <c r="H205">
        <v>2776</v>
      </c>
      <c r="I205">
        <v>4.619999885559082</v>
      </c>
      <c r="J205" t="s">
        <v>850</v>
      </c>
      <c r="K205">
        <v>31050</v>
      </c>
      <c r="L205">
        <v>21650</v>
      </c>
      <c r="M205">
        <v>-30.27</v>
      </c>
      <c r="N205">
        <v>-3.78</v>
      </c>
      <c r="O205">
        <v>-4.5999999999999996</v>
      </c>
      <c r="P205">
        <v>-3.59</v>
      </c>
      <c r="Q205">
        <v>1.71</v>
      </c>
      <c r="R205">
        <v>-4.07</v>
      </c>
      <c r="S205">
        <v>-3.61</v>
      </c>
      <c r="T205">
        <v>2.62</v>
      </c>
      <c r="U205">
        <v>2.04</v>
      </c>
      <c r="V205">
        <v>2.38</v>
      </c>
      <c r="W205">
        <v>5.84</v>
      </c>
      <c r="X205">
        <v>1.78</v>
      </c>
      <c r="Y205">
        <v>1.54</v>
      </c>
      <c r="Z205">
        <v>1.44</v>
      </c>
      <c r="AA205">
        <v>2.25</v>
      </c>
      <c r="AB205">
        <v>1.51</v>
      </c>
      <c r="AC205">
        <v>0.28999999999999998</v>
      </c>
      <c r="AD205">
        <v>2.29</v>
      </c>
      <c r="AE205">
        <v>2.34</v>
      </c>
      <c r="AF205">
        <v>1.686666666666667</v>
      </c>
      <c r="AG205" t="str">
        <f>HYPERLINK("https://finance.naver.com/item/fchart.naver?code=286940", "롯데이노베이트 차트보기")</f>
        <v>롯데이노베이트 차트보기</v>
      </c>
    </row>
    <row r="206" spans="1:33" x14ac:dyDescent="0.3">
      <c r="A206" t="s">
        <v>851</v>
      </c>
      <c r="B206" t="s">
        <v>34</v>
      </c>
      <c r="C206" t="s">
        <v>852</v>
      </c>
      <c r="D206">
        <v>21451923.379999999</v>
      </c>
      <c r="E206" t="s">
        <v>853</v>
      </c>
      <c r="F206">
        <v>84.86</v>
      </c>
      <c r="G206">
        <v>2.4200000762939449</v>
      </c>
      <c r="H206">
        <v>21</v>
      </c>
      <c r="I206">
        <v>0</v>
      </c>
      <c r="J206" t="s">
        <v>854</v>
      </c>
      <c r="K206">
        <v>1042</v>
      </c>
      <c r="L206">
        <v>1782</v>
      </c>
      <c r="M206">
        <v>71.02</v>
      </c>
      <c r="N206">
        <v>26.47</v>
      </c>
      <c r="O206">
        <v>20.9</v>
      </c>
      <c r="P206">
        <v>-5.13</v>
      </c>
      <c r="Q206">
        <v>-1.96</v>
      </c>
      <c r="R206">
        <v>12.22</v>
      </c>
      <c r="S206">
        <v>-1.96</v>
      </c>
      <c r="T206">
        <v>13.74</v>
      </c>
      <c r="U206">
        <v>6.56</v>
      </c>
      <c r="V206">
        <v>5.72</v>
      </c>
      <c r="W206">
        <v>5.7</v>
      </c>
      <c r="X206">
        <v>7.49</v>
      </c>
      <c r="Y206">
        <v>0.92</v>
      </c>
      <c r="Z206">
        <v>1.93</v>
      </c>
      <c r="AA206">
        <v>3.19</v>
      </c>
      <c r="AB206">
        <v>0.9</v>
      </c>
      <c r="AC206">
        <v>0.34</v>
      </c>
      <c r="AD206">
        <v>1.63</v>
      </c>
      <c r="AE206">
        <v>2.13</v>
      </c>
      <c r="AF206">
        <v>1.686666666666667</v>
      </c>
      <c r="AG206" t="str">
        <f>HYPERLINK("https://finance.naver.com/item/fchart.naver?code=007110", "일신석재 차트보기")</f>
        <v>일신석재 차트보기</v>
      </c>
    </row>
    <row r="207" spans="1:33" x14ac:dyDescent="0.3">
      <c r="A207" t="s">
        <v>855</v>
      </c>
      <c r="B207" t="s">
        <v>34</v>
      </c>
      <c r="C207" t="s">
        <v>856</v>
      </c>
      <c r="D207">
        <v>88717.19</v>
      </c>
      <c r="E207" t="s">
        <v>857</v>
      </c>
      <c r="F207">
        <v>21.34</v>
      </c>
      <c r="G207">
        <v>2.5799999237060551</v>
      </c>
      <c r="H207">
        <v>590</v>
      </c>
      <c r="I207">
        <v>6.0399999618530273</v>
      </c>
      <c r="J207" t="s">
        <v>858</v>
      </c>
      <c r="K207">
        <v>13430</v>
      </c>
      <c r="L207">
        <v>12590</v>
      </c>
      <c r="M207">
        <v>-6.25</v>
      </c>
      <c r="N207">
        <v>-3.15</v>
      </c>
      <c r="O207">
        <v>0.62</v>
      </c>
      <c r="P207">
        <v>-4.3600000000000003</v>
      </c>
      <c r="Q207">
        <v>5.26</v>
      </c>
      <c r="R207">
        <v>-3.54</v>
      </c>
      <c r="S207">
        <v>0.45</v>
      </c>
      <c r="T207">
        <v>1.46</v>
      </c>
      <c r="U207">
        <v>1.64</v>
      </c>
      <c r="V207">
        <v>1.69</v>
      </c>
      <c r="W207">
        <v>2.38</v>
      </c>
      <c r="X207">
        <v>1.29</v>
      </c>
      <c r="Y207">
        <v>4.46</v>
      </c>
      <c r="Z207">
        <v>2.16</v>
      </c>
      <c r="AA207">
        <v>0.38</v>
      </c>
      <c r="AB207">
        <v>2.58</v>
      </c>
      <c r="AC207">
        <v>2.21</v>
      </c>
      <c r="AD207">
        <v>2.74</v>
      </c>
      <c r="AE207">
        <v>0.1</v>
      </c>
      <c r="AF207">
        <v>1.6950000000000001</v>
      </c>
      <c r="AG207" t="str">
        <f>HYPERLINK("https://finance.naver.com/item/fchart.naver?code=381970", "케이카 차트보기")</f>
        <v>케이카 차트보기</v>
      </c>
    </row>
    <row r="208" spans="1:33" x14ac:dyDescent="0.3">
      <c r="A208" t="s">
        <v>859</v>
      </c>
      <c r="B208" t="s">
        <v>34</v>
      </c>
      <c r="C208" t="s">
        <v>860</v>
      </c>
      <c r="D208">
        <v>11773.71</v>
      </c>
      <c r="E208" t="s">
        <v>861</v>
      </c>
      <c r="F208">
        <v>0</v>
      </c>
      <c r="G208">
        <v>0.47999998927116388</v>
      </c>
      <c r="H208">
        <v>0</v>
      </c>
      <c r="I208">
        <v>2.4600000381469731</v>
      </c>
      <c r="J208" t="s">
        <v>862</v>
      </c>
      <c r="K208">
        <v>1244</v>
      </c>
      <c r="L208">
        <v>1015</v>
      </c>
      <c r="M208">
        <v>-18.41</v>
      </c>
      <c r="N208">
        <v>-1.74</v>
      </c>
      <c r="O208">
        <v>0</v>
      </c>
      <c r="P208">
        <v>-4.5599999999999996</v>
      </c>
      <c r="Q208">
        <v>3.33</v>
      </c>
      <c r="R208">
        <v>-4.59</v>
      </c>
      <c r="S208">
        <v>-3.44</v>
      </c>
      <c r="T208">
        <v>1.53</v>
      </c>
      <c r="U208">
        <v>1.07</v>
      </c>
      <c r="V208">
        <v>1.86</v>
      </c>
      <c r="W208">
        <v>2.73</v>
      </c>
      <c r="X208">
        <v>1.64</v>
      </c>
      <c r="Y208">
        <v>1.32</v>
      </c>
      <c r="Z208">
        <v>1.1399999999999999</v>
      </c>
      <c r="AA208">
        <v>0</v>
      </c>
      <c r="AB208">
        <v>2.4500000000000002</v>
      </c>
      <c r="AC208">
        <v>1.22</v>
      </c>
      <c r="AD208">
        <v>2.8</v>
      </c>
      <c r="AE208">
        <v>2.61</v>
      </c>
      <c r="AF208">
        <v>1.7033333333333329</v>
      </c>
      <c r="AG208" t="str">
        <f>HYPERLINK("https://finance.naver.com/item/fchart.naver?code=010420", "한솔PNS 차트보기")</f>
        <v>한솔PNS 차트보기</v>
      </c>
    </row>
    <row r="209" spans="1:33" x14ac:dyDescent="0.3">
      <c r="A209" t="s">
        <v>863</v>
      </c>
      <c r="B209" t="s">
        <v>55</v>
      </c>
      <c r="C209" t="s">
        <v>864</v>
      </c>
      <c r="D209">
        <v>78947.240000000005</v>
      </c>
      <c r="E209" t="s">
        <v>865</v>
      </c>
      <c r="F209">
        <v>13.4</v>
      </c>
      <c r="G209">
        <v>0.61000001430511475</v>
      </c>
      <c r="H209">
        <v>128</v>
      </c>
      <c r="I209">
        <v>0</v>
      </c>
      <c r="J209" t="s">
        <v>866</v>
      </c>
      <c r="K209">
        <v>2015</v>
      </c>
      <c r="L209">
        <v>1715</v>
      </c>
      <c r="M209">
        <v>-14.89</v>
      </c>
      <c r="N209">
        <v>-3.65</v>
      </c>
      <c r="O209">
        <v>-3.3</v>
      </c>
      <c r="P209">
        <v>-0.8</v>
      </c>
      <c r="Q209">
        <v>-1.04</v>
      </c>
      <c r="R209">
        <v>2.41</v>
      </c>
      <c r="S209">
        <v>-2.09</v>
      </c>
      <c r="T209">
        <v>1.41</v>
      </c>
      <c r="U209">
        <v>0.96</v>
      </c>
      <c r="V209">
        <v>1.82</v>
      </c>
      <c r="W209">
        <v>3.88</v>
      </c>
      <c r="X209">
        <v>1.4</v>
      </c>
      <c r="Y209">
        <v>1.18</v>
      </c>
      <c r="Z209">
        <v>2.59</v>
      </c>
      <c r="AA209">
        <v>3.44</v>
      </c>
      <c r="AB209">
        <v>0.44</v>
      </c>
      <c r="AC209">
        <v>0.27</v>
      </c>
      <c r="AD209">
        <v>1.72</v>
      </c>
      <c r="AE209">
        <v>1.77</v>
      </c>
      <c r="AF209">
        <v>1.7050000000000001</v>
      </c>
      <c r="AG209" t="str">
        <f>HYPERLINK("https://finance.naver.com/item/fchart.naver?code=012860", "모베이스전자 차트보기")</f>
        <v>모베이스전자 차트보기</v>
      </c>
    </row>
    <row r="210" spans="1:33" x14ac:dyDescent="0.3">
      <c r="A210" t="s">
        <v>867</v>
      </c>
      <c r="B210" t="s">
        <v>34</v>
      </c>
      <c r="C210" t="s">
        <v>868</v>
      </c>
      <c r="D210">
        <v>79495.38</v>
      </c>
      <c r="E210" t="s">
        <v>869</v>
      </c>
      <c r="F210">
        <v>9.74</v>
      </c>
      <c r="G210">
        <v>0.50999999046325684</v>
      </c>
      <c r="H210">
        <v>685</v>
      </c>
      <c r="I210">
        <v>6</v>
      </c>
      <c r="J210" t="s">
        <v>870</v>
      </c>
      <c r="K210">
        <v>7520</v>
      </c>
      <c r="L210">
        <v>6670</v>
      </c>
      <c r="M210">
        <v>-11.3</v>
      </c>
      <c r="N210">
        <v>-7.49</v>
      </c>
      <c r="O210">
        <v>5.13</v>
      </c>
      <c r="P210">
        <v>-0.43</v>
      </c>
      <c r="Q210">
        <v>-11.82</v>
      </c>
      <c r="R210">
        <v>-0.25</v>
      </c>
      <c r="S210">
        <v>-3.06</v>
      </c>
      <c r="T210">
        <v>2.75</v>
      </c>
      <c r="U210">
        <v>2.42</v>
      </c>
      <c r="V210">
        <v>1.3</v>
      </c>
      <c r="W210">
        <v>3.86</v>
      </c>
      <c r="X210">
        <v>2.71</v>
      </c>
      <c r="Y210">
        <v>1.6</v>
      </c>
      <c r="Z210">
        <v>2.72</v>
      </c>
      <c r="AA210">
        <v>2.12</v>
      </c>
      <c r="AB210">
        <v>0.33</v>
      </c>
      <c r="AC210">
        <v>3.06</v>
      </c>
      <c r="AD210">
        <v>0.09</v>
      </c>
      <c r="AE210">
        <v>1.91</v>
      </c>
      <c r="AF210">
        <v>1.7050000000000001</v>
      </c>
      <c r="AG210" t="str">
        <f>HYPERLINK("https://finance.naver.com/item/fchart.naver?code=000390", "삼화페인트 차트보기")</f>
        <v>삼화페인트 차트보기</v>
      </c>
    </row>
    <row r="211" spans="1:33" x14ac:dyDescent="0.3">
      <c r="A211" t="s">
        <v>871</v>
      </c>
      <c r="B211" t="s">
        <v>34</v>
      </c>
      <c r="C211" t="s">
        <v>872</v>
      </c>
      <c r="D211">
        <v>128665.19</v>
      </c>
      <c r="E211" t="s">
        <v>873</v>
      </c>
      <c r="F211">
        <v>6.41</v>
      </c>
      <c r="G211">
        <v>0.54000002145767212</v>
      </c>
      <c r="H211">
        <v>12100</v>
      </c>
      <c r="I211">
        <v>3.410000085830688</v>
      </c>
      <c r="J211" t="s">
        <v>874</v>
      </c>
      <c r="K211">
        <v>70900</v>
      </c>
      <c r="L211">
        <v>77600</v>
      </c>
      <c r="M211">
        <v>9.4499999999999993</v>
      </c>
      <c r="N211">
        <v>-0.39</v>
      </c>
      <c r="O211">
        <v>3.35</v>
      </c>
      <c r="P211">
        <v>-0.81</v>
      </c>
      <c r="Q211">
        <v>-0.27</v>
      </c>
      <c r="R211">
        <v>6.71</v>
      </c>
      <c r="S211">
        <v>7.03</v>
      </c>
      <c r="T211">
        <v>1.26</v>
      </c>
      <c r="U211">
        <v>1.75</v>
      </c>
      <c r="V211">
        <v>2.57</v>
      </c>
      <c r="W211">
        <v>2.87</v>
      </c>
      <c r="X211">
        <v>1.66</v>
      </c>
      <c r="Y211">
        <v>1.97</v>
      </c>
      <c r="Z211">
        <v>0.31</v>
      </c>
      <c r="AA211">
        <v>1.91</v>
      </c>
      <c r="AB211">
        <v>0.32</v>
      </c>
      <c r="AC211">
        <v>0.09</v>
      </c>
      <c r="AD211">
        <v>4.04</v>
      </c>
      <c r="AE211">
        <v>3.57</v>
      </c>
      <c r="AF211">
        <v>1.706666666666667</v>
      </c>
      <c r="AG211" t="str">
        <f>HYPERLINK("https://finance.naver.com/item/fchart.naver?code=071050", "한국금융지주 차트보기")</f>
        <v>한국금융지주 차트보기</v>
      </c>
    </row>
    <row r="212" spans="1:33" x14ac:dyDescent="0.3">
      <c r="A212" t="s">
        <v>875</v>
      </c>
      <c r="B212" t="s">
        <v>55</v>
      </c>
      <c r="C212" t="s">
        <v>876</v>
      </c>
      <c r="D212">
        <v>8363.2900000000009</v>
      </c>
      <c r="E212" t="s">
        <v>877</v>
      </c>
      <c r="F212">
        <v>0</v>
      </c>
      <c r="G212">
        <v>0</v>
      </c>
      <c r="H212">
        <v>0</v>
      </c>
      <c r="I212">
        <v>0</v>
      </c>
      <c r="J212" t="s">
        <v>878</v>
      </c>
      <c r="K212">
        <v>2030</v>
      </c>
      <c r="L212">
        <v>2010</v>
      </c>
      <c r="M212">
        <v>-0.99</v>
      </c>
      <c r="N212">
        <v>0</v>
      </c>
      <c r="O212">
        <v>0</v>
      </c>
      <c r="P212">
        <v>-0.25</v>
      </c>
      <c r="Q212">
        <v>-0.98</v>
      </c>
      <c r="R212">
        <v>0.99</v>
      </c>
      <c r="S212">
        <v>-0.49</v>
      </c>
      <c r="T212">
        <v>0.14000000000000001</v>
      </c>
      <c r="U212">
        <v>0.21</v>
      </c>
      <c r="V212">
        <v>0.17</v>
      </c>
      <c r="W212">
        <v>0.37</v>
      </c>
      <c r="X212">
        <v>0.26</v>
      </c>
      <c r="Y212">
        <v>0.21</v>
      </c>
      <c r="Z212">
        <v>0</v>
      </c>
      <c r="AA212">
        <v>0</v>
      </c>
      <c r="AB212">
        <v>1.47</v>
      </c>
      <c r="AC212">
        <v>2.65</v>
      </c>
      <c r="AD212">
        <v>3.81</v>
      </c>
      <c r="AE212">
        <v>2.33</v>
      </c>
      <c r="AF212">
        <v>1.71</v>
      </c>
      <c r="AG212" t="str">
        <f>HYPERLINK("https://finance.naver.com/item/fchart.naver?code=452670", "상상인제4호스팩 차트보기")</f>
        <v>상상인제4호스팩 차트보기</v>
      </c>
    </row>
    <row r="213" spans="1:33" x14ac:dyDescent="0.3">
      <c r="A213" t="s">
        <v>879</v>
      </c>
      <c r="B213" t="s">
        <v>55</v>
      </c>
      <c r="C213" t="s">
        <v>880</v>
      </c>
      <c r="D213">
        <v>56211</v>
      </c>
      <c r="E213" t="s">
        <v>881</v>
      </c>
      <c r="F213">
        <v>9.31</v>
      </c>
      <c r="G213">
        <v>0.6600000262260437</v>
      </c>
      <c r="H213">
        <v>540</v>
      </c>
      <c r="I213">
        <v>0</v>
      </c>
      <c r="J213" t="s">
        <v>882</v>
      </c>
      <c r="K213">
        <v>6460</v>
      </c>
      <c r="L213">
        <v>5030</v>
      </c>
      <c r="M213">
        <v>-22.14</v>
      </c>
      <c r="N213">
        <v>1</v>
      </c>
      <c r="O213">
        <v>-1.18</v>
      </c>
      <c r="P213">
        <v>-6.73</v>
      </c>
      <c r="Q213">
        <v>-1.86</v>
      </c>
      <c r="R213">
        <v>-5.66</v>
      </c>
      <c r="S213">
        <v>-5.84</v>
      </c>
      <c r="T213">
        <v>2.31</v>
      </c>
      <c r="U213">
        <v>1.39</v>
      </c>
      <c r="V213">
        <v>2.17</v>
      </c>
      <c r="W213">
        <v>3.82</v>
      </c>
      <c r="X213">
        <v>2.86</v>
      </c>
      <c r="Y213">
        <v>1.71</v>
      </c>
      <c r="Z213">
        <v>0.43</v>
      </c>
      <c r="AA213">
        <v>0.85</v>
      </c>
      <c r="AB213">
        <v>3.1</v>
      </c>
      <c r="AC213">
        <v>0.49</v>
      </c>
      <c r="AD213">
        <v>1.98</v>
      </c>
      <c r="AE213">
        <v>3.42</v>
      </c>
      <c r="AF213">
        <v>1.7116666666666669</v>
      </c>
      <c r="AG213" t="str">
        <f>HYPERLINK("https://finance.naver.com/item/fchart.naver?code=049520", "유아이엘 차트보기")</f>
        <v>유아이엘 차트보기</v>
      </c>
    </row>
    <row r="214" spans="1:33" x14ac:dyDescent="0.3">
      <c r="A214" t="s">
        <v>883</v>
      </c>
      <c r="B214" t="s">
        <v>55</v>
      </c>
      <c r="C214" t="s">
        <v>884</v>
      </c>
      <c r="D214">
        <v>72833.48</v>
      </c>
      <c r="E214" t="s">
        <v>885</v>
      </c>
      <c r="F214">
        <v>3.44</v>
      </c>
      <c r="G214">
        <v>0.51999998092651367</v>
      </c>
      <c r="H214">
        <v>1513</v>
      </c>
      <c r="I214">
        <v>5.7699999809265137</v>
      </c>
      <c r="J214" t="s">
        <v>886</v>
      </c>
      <c r="K214">
        <v>5990</v>
      </c>
      <c r="L214">
        <v>5200</v>
      </c>
      <c r="M214">
        <v>-13.19</v>
      </c>
      <c r="N214">
        <v>0.97</v>
      </c>
      <c r="O214">
        <v>0.38</v>
      </c>
      <c r="P214">
        <v>-3.77</v>
      </c>
      <c r="Q214">
        <v>2.35</v>
      </c>
      <c r="R214">
        <v>5.54</v>
      </c>
      <c r="S214">
        <v>-6.56</v>
      </c>
      <c r="T214">
        <v>1.91</v>
      </c>
      <c r="U214">
        <v>2.04</v>
      </c>
      <c r="V214">
        <v>2.21</v>
      </c>
      <c r="W214">
        <v>3.59</v>
      </c>
      <c r="X214">
        <v>1.99</v>
      </c>
      <c r="Y214">
        <v>1.48</v>
      </c>
      <c r="Z214">
        <v>0.51</v>
      </c>
      <c r="AA214">
        <v>0.19</v>
      </c>
      <c r="AB214">
        <v>1.71</v>
      </c>
      <c r="AC214">
        <v>0.65</v>
      </c>
      <c r="AD214">
        <v>2.78</v>
      </c>
      <c r="AE214">
        <v>4.43</v>
      </c>
      <c r="AF214">
        <v>1.7116666666666669</v>
      </c>
      <c r="AG214" t="str">
        <f>HYPERLINK("https://finance.naver.com/item/fchart.naver?code=054040", "한국컴퓨터 차트보기")</f>
        <v>한국컴퓨터 차트보기</v>
      </c>
    </row>
    <row r="215" spans="1:33" x14ac:dyDescent="0.3">
      <c r="A215" t="s">
        <v>887</v>
      </c>
      <c r="B215" t="s">
        <v>34</v>
      </c>
      <c r="C215" t="s">
        <v>888</v>
      </c>
      <c r="D215">
        <v>26076.76</v>
      </c>
      <c r="E215" t="s">
        <v>889</v>
      </c>
      <c r="F215">
        <v>0</v>
      </c>
      <c r="G215">
        <v>2.529999971389771</v>
      </c>
      <c r="H215">
        <v>0</v>
      </c>
      <c r="I215">
        <v>8.619999885559082</v>
      </c>
      <c r="J215" t="s">
        <v>890</v>
      </c>
      <c r="K215">
        <v>65100</v>
      </c>
      <c r="L215">
        <v>52200</v>
      </c>
      <c r="M215">
        <v>-19.82</v>
      </c>
      <c r="N215">
        <v>0.57999999999999996</v>
      </c>
      <c r="O215">
        <v>-1.3</v>
      </c>
      <c r="P215">
        <v>1.62</v>
      </c>
      <c r="Q215">
        <v>-11.77</v>
      </c>
      <c r="R215">
        <v>6.2</v>
      </c>
      <c r="S215">
        <v>10.27</v>
      </c>
      <c r="T215">
        <v>1.63</v>
      </c>
      <c r="U215">
        <v>1.55</v>
      </c>
      <c r="V215">
        <v>2.2999999999999998</v>
      </c>
      <c r="W215">
        <v>3.42</v>
      </c>
      <c r="X215">
        <v>2.99</v>
      </c>
      <c r="Y215">
        <v>3.58</v>
      </c>
      <c r="Z215">
        <v>0.36</v>
      </c>
      <c r="AA215">
        <v>0.84</v>
      </c>
      <c r="AB215">
        <v>0.7</v>
      </c>
      <c r="AC215">
        <v>3.44</v>
      </c>
      <c r="AD215">
        <v>2.0699999999999998</v>
      </c>
      <c r="AE215">
        <v>2.87</v>
      </c>
      <c r="AF215">
        <v>1.713333333333334</v>
      </c>
      <c r="AG215" t="str">
        <f>HYPERLINK("https://finance.naver.com/item/fchart.naver?code=009240", "한샘 차트보기")</f>
        <v>한샘 차트보기</v>
      </c>
    </row>
    <row r="216" spans="1:33" x14ac:dyDescent="0.3">
      <c r="A216" t="s">
        <v>891</v>
      </c>
      <c r="B216" t="s">
        <v>55</v>
      </c>
      <c r="C216" t="s">
        <v>892</v>
      </c>
      <c r="D216">
        <v>238944.52</v>
      </c>
      <c r="E216" t="s">
        <v>893</v>
      </c>
      <c r="F216">
        <v>0</v>
      </c>
      <c r="G216">
        <v>2.9800000190734859</v>
      </c>
      <c r="H216">
        <v>0</v>
      </c>
      <c r="I216">
        <v>0</v>
      </c>
      <c r="J216" t="s">
        <v>894</v>
      </c>
      <c r="K216">
        <v>3585</v>
      </c>
      <c r="L216">
        <v>3545</v>
      </c>
      <c r="M216">
        <v>-1.1200000000000001</v>
      </c>
      <c r="N216">
        <v>1.72</v>
      </c>
      <c r="O216">
        <v>19.46</v>
      </c>
      <c r="P216">
        <v>-3.14</v>
      </c>
      <c r="Q216">
        <v>0.66</v>
      </c>
      <c r="R216">
        <v>0.67</v>
      </c>
      <c r="S216">
        <v>-10.039999999999999</v>
      </c>
      <c r="T216">
        <v>2.2599999999999998</v>
      </c>
      <c r="U216">
        <v>3.72</v>
      </c>
      <c r="V216">
        <v>1.92</v>
      </c>
      <c r="W216">
        <v>4.97</v>
      </c>
      <c r="X216">
        <v>3.8</v>
      </c>
      <c r="Y216">
        <v>4.28</v>
      </c>
      <c r="Z216">
        <v>0.76</v>
      </c>
      <c r="AA216">
        <v>5.23</v>
      </c>
      <c r="AB216">
        <v>1.64</v>
      </c>
      <c r="AC216">
        <v>0.13</v>
      </c>
      <c r="AD216">
        <v>0.18</v>
      </c>
      <c r="AE216">
        <v>2.35</v>
      </c>
      <c r="AF216">
        <v>1.7150000000000001</v>
      </c>
      <c r="AG216" t="str">
        <f>HYPERLINK("https://finance.naver.com/item/fchart.naver?code=187660", "현대ADM 차트보기")</f>
        <v>현대ADM 차트보기</v>
      </c>
    </row>
    <row r="217" spans="1:33" x14ac:dyDescent="0.3">
      <c r="A217" t="s">
        <v>895</v>
      </c>
      <c r="B217" t="s">
        <v>34</v>
      </c>
      <c r="C217" t="s">
        <v>896</v>
      </c>
      <c r="D217">
        <v>6904.29</v>
      </c>
      <c r="E217" t="s">
        <v>897</v>
      </c>
      <c r="F217">
        <v>2.54</v>
      </c>
      <c r="G217">
        <v>0.20000000298023221</v>
      </c>
      <c r="H217">
        <v>35116</v>
      </c>
      <c r="I217">
        <v>3.369999885559082</v>
      </c>
      <c r="J217" t="s">
        <v>898</v>
      </c>
      <c r="K217">
        <v>93100</v>
      </c>
      <c r="L217">
        <v>89100</v>
      </c>
      <c r="M217">
        <v>-4.3</v>
      </c>
      <c r="N217">
        <v>-0.67</v>
      </c>
      <c r="O217">
        <v>1.01</v>
      </c>
      <c r="P217">
        <v>1.46</v>
      </c>
      <c r="Q217">
        <v>-1.98</v>
      </c>
      <c r="R217">
        <v>-0.98</v>
      </c>
      <c r="S217">
        <v>-4.51</v>
      </c>
      <c r="T217">
        <v>0.66</v>
      </c>
      <c r="U217">
        <v>0.64</v>
      </c>
      <c r="V217">
        <v>0.75</v>
      </c>
      <c r="W217">
        <v>1.5</v>
      </c>
      <c r="X217">
        <v>0.43</v>
      </c>
      <c r="Y217">
        <v>2.11</v>
      </c>
      <c r="Z217">
        <v>1.02</v>
      </c>
      <c r="AA217">
        <v>1.58</v>
      </c>
      <c r="AB217">
        <v>1.95</v>
      </c>
      <c r="AC217">
        <v>1.32</v>
      </c>
      <c r="AD217">
        <v>2.2799999999999998</v>
      </c>
      <c r="AE217">
        <v>2.14</v>
      </c>
      <c r="AF217">
        <v>1.7150000000000001</v>
      </c>
      <c r="AG217" t="str">
        <f>HYPERLINK("https://finance.naver.com/item/fchart.naver?code=004690", "삼천리 차트보기")</f>
        <v>삼천리 차트보기</v>
      </c>
    </row>
    <row r="218" spans="1:33" x14ac:dyDescent="0.3">
      <c r="A218" t="s">
        <v>899</v>
      </c>
      <c r="B218" t="s">
        <v>34</v>
      </c>
      <c r="C218" t="s">
        <v>900</v>
      </c>
      <c r="D218">
        <v>16080.48</v>
      </c>
      <c r="E218" t="s">
        <v>901</v>
      </c>
      <c r="F218">
        <v>7.26</v>
      </c>
      <c r="G218">
        <v>0.40999999642372131</v>
      </c>
      <c r="H218">
        <v>303</v>
      </c>
      <c r="I218">
        <v>2.2699999809265141</v>
      </c>
      <c r="J218" t="s">
        <v>902</v>
      </c>
      <c r="K218">
        <v>2755</v>
      </c>
      <c r="L218">
        <v>2200</v>
      </c>
      <c r="M218">
        <v>-20.149999999999999</v>
      </c>
      <c r="N218">
        <v>-0.45</v>
      </c>
      <c r="O218">
        <v>0.22</v>
      </c>
      <c r="P218">
        <v>-4.58</v>
      </c>
      <c r="Q218">
        <v>-1.64</v>
      </c>
      <c r="R218">
        <v>-6.53</v>
      </c>
      <c r="S218">
        <v>-2.4500000000000002</v>
      </c>
      <c r="T218">
        <v>1.31</v>
      </c>
      <c r="U218">
        <v>1.48</v>
      </c>
      <c r="V218">
        <v>1.66</v>
      </c>
      <c r="W218">
        <v>2.39</v>
      </c>
      <c r="X218">
        <v>1.76</v>
      </c>
      <c r="Y218">
        <v>0.92</v>
      </c>
      <c r="Z218">
        <v>0.34</v>
      </c>
      <c r="AA218">
        <v>0.15</v>
      </c>
      <c r="AB218">
        <v>2.76</v>
      </c>
      <c r="AC218">
        <v>0.69</v>
      </c>
      <c r="AD218">
        <v>3.71</v>
      </c>
      <c r="AE218">
        <v>2.66</v>
      </c>
      <c r="AF218">
        <v>1.718333333333333</v>
      </c>
      <c r="AG218" t="str">
        <f>HYPERLINK("https://finance.naver.com/item/fchart.naver?code=049800", "우진플라임 차트보기")</f>
        <v>우진플라임 차트보기</v>
      </c>
    </row>
    <row r="219" spans="1:33" x14ac:dyDescent="0.3">
      <c r="A219" t="s">
        <v>903</v>
      </c>
      <c r="B219" t="s">
        <v>34</v>
      </c>
      <c r="C219" t="s">
        <v>904</v>
      </c>
      <c r="D219">
        <v>59852.81</v>
      </c>
      <c r="E219" t="s">
        <v>905</v>
      </c>
      <c r="J219" t="s">
        <v>906</v>
      </c>
      <c r="K219">
        <v>4475</v>
      </c>
      <c r="L219">
        <v>3965</v>
      </c>
      <c r="M219">
        <v>-11.4</v>
      </c>
      <c r="N219">
        <v>-4.34</v>
      </c>
      <c r="O219">
        <v>-2.5499999999999998</v>
      </c>
      <c r="P219">
        <v>-0.79</v>
      </c>
      <c r="Q219">
        <v>-1.01</v>
      </c>
      <c r="R219">
        <v>0.79</v>
      </c>
      <c r="S219">
        <v>1.37</v>
      </c>
      <c r="T219">
        <v>1.39</v>
      </c>
      <c r="U219">
        <v>1.17</v>
      </c>
      <c r="V219">
        <v>0.48</v>
      </c>
      <c r="W219">
        <v>1.32</v>
      </c>
      <c r="X219">
        <v>0.89</v>
      </c>
      <c r="Y219">
        <v>0.8</v>
      </c>
      <c r="Z219">
        <v>3.12</v>
      </c>
      <c r="AA219">
        <v>2.1800000000000002</v>
      </c>
      <c r="AB219">
        <v>1.65</v>
      </c>
      <c r="AC219">
        <v>0.77</v>
      </c>
      <c r="AD219">
        <v>0.89</v>
      </c>
      <c r="AE219">
        <v>1.71</v>
      </c>
      <c r="AF219">
        <v>1.72</v>
      </c>
      <c r="AG219" t="str">
        <f>HYPERLINK("https://finance.naver.com/item/fchart.naver?code=432320", "KB스타리츠 차트보기")</f>
        <v>KB스타리츠 차트보기</v>
      </c>
    </row>
    <row r="220" spans="1:33" x14ac:dyDescent="0.3">
      <c r="A220" t="s">
        <v>907</v>
      </c>
      <c r="B220" t="s">
        <v>55</v>
      </c>
      <c r="C220" t="s">
        <v>908</v>
      </c>
      <c r="D220">
        <v>6788.57</v>
      </c>
      <c r="E220" t="s">
        <v>909</v>
      </c>
      <c r="F220">
        <v>0</v>
      </c>
      <c r="G220">
        <v>2.589999914169312</v>
      </c>
      <c r="H220">
        <v>0</v>
      </c>
      <c r="I220">
        <v>0</v>
      </c>
      <c r="J220" t="s">
        <v>910</v>
      </c>
      <c r="K220">
        <v>1994</v>
      </c>
      <c r="L220">
        <v>1594</v>
      </c>
      <c r="M220">
        <v>-20.059999999999999</v>
      </c>
      <c r="N220">
        <v>-0.38</v>
      </c>
      <c r="O220">
        <v>-1.02</v>
      </c>
      <c r="P220">
        <v>1.61</v>
      </c>
      <c r="Q220">
        <v>-1.76</v>
      </c>
      <c r="R220">
        <v>-8.16</v>
      </c>
      <c r="S220">
        <v>-10.26</v>
      </c>
      <c r="T220">
        <v>2.11</v>
      </c>
      <c r="U220">
        <v>1.43</v>
      </c>
      <c r="V220">
        <v>1.61</v>
      </c>
      <c r="W220">
        <v>1.79</v>
      </c>
      <c r="X220">
        <v>2.37</v>
      </c>
      <c r="Y220">
        <v>2.5499999999999998</v>
      </c>
      <c r="Z220">
        <v>0.18</v>
      </c>
      <c r="AA220">
        <v>0.71</v>
      </c>
      <c r="AB220">
        <v>1</v>
      </c>
      <c r="AC220">
        <v>0.98</v>
      </c>
      <c r="AD220">
        <v>3.44</v>
      </c>
      <c r="AE220">
        <v>4.0199999999999996</v>
      </c>
      <c r="AF220">
        <v>1.7216666666666669</v>
      </c>
      <c r="AG220" t="str">
        <f>HYPERLINK("https://finance.naver.com/item/fchart.naver?code=369370", "블리츠웨이스튜디오 차트보기")</f>
        <v>블리츠웨이스튜디오 차트보기</v>
      </c>
    </row>
    <row r="221" spans="1:33" x14ac:dyDescent="0.3">
      <c r="A221" t="s">
        <v>911</v>
      </c>
      <c r="B221" t="s">
        <v>55</v>
      </c>
      <c r="C221" t="s">
        <v>912</v>
      </c>
      <c r="D221">
        <v>289965.05</v>
      </c>
      <c r="E221" t="s">
        <v>913</v>
      </c>
      <c r="F221">
        <v>94.72</v>
      </c>
      <c r="G221">
        <v>4.820000171661377</v>
      </c>
      <c r="H221">
        <v>1041</v>
      </c>
      <c r="I221">
        <v>0.50999999046325684</v>
      </c>
      <c r="J221" t="s">
        <v>914</v>
      </c>
      <c r="K221">
        <v>96100</v>
      </c>
      <c r="L221">
        <v>98600</v>
      </c>
      <c r="M221">
        <v>2.6</v>
      </c>
      <c r="N221">
        <v>3.03</v>
      </c>
      <c r="O221">
        <v>-0.2</v>
      </c>
      <c r="P221">
        <v>-8.9499999999999993</v>
      </c>
      <c r="Q221">
        <v>30.09</v>
      </c>
      <c r="R221">
        <v>-0.67</v>
      </c>
      <c r="S221">
        <v>-5.94</v>
      </c>
      <c r="T221">
        <v>3.92</v>
      </c>
      <c r="U221">
        <v>3.13</v>
      </c>
      <c r="V221">
        <v>3.97</v>
      </c>
      <c r="W221">
        <v>5.13</v>
      </c>
      <c r="X221">
        <v>3.61</v>
      </c>
      <c r="Y221">
        <v>4.95</v>
      </c>
      <c r="Z221">
        <v>0.77</v>
      </c>
      <c r="AA221">
        <v>0.06</v>
      </c>
      <c r="AB221">
        <v>2.25</v>
      </c>
      <c r="AC221">
        <v>5.87</v>
      </c>
      <c r="AD221">
        <v>0.19</v>
      </c>
      <c r="AE221">
        <v>1.2</v>
      </c>
      <c r="AF221">
        <v>1.7233333333333329</v>
      </c>
      <c r="AG221" t="str">
        <f>HYPERLINK("https://finance.naver.com/item/fchart.naver?code=237690", "에스티팜 차트보기")</f>
        <v>에스티팜 차트보기</v>
      </c>
    </row>
    <row r="222" spans="1:33" x14ac:dyDescent="0.3">
      <c r="A222" t="s">
        <v>915</v>
      </c>
      <c r="B222" t="s">
        <v>55</v>
      </c>
      <c r="C222" t="s">
        <v>916</v>
      </c>
      <c r="D222">
        <v>68022.67</v>
      </c>
      <c r="E222" t="s">
        <v>917</v>
      </c>
      <c r="F222">
        <v>8.59</v>
      </c>
      <c r="G222">
        <v>0.68999999761581421</v>
      </c>
      <c r="H222">
        <v>708</v>
      </c>
      <c r="I222">
        <v>1.639999985694885</v>
      </c>
      <c r="J222" t="s">
        <v>918</v>
      </c>
      <c r="K222">
        <v>6230</v>
      </c>
      <c r="L222">
        <v>6080</v>
      </c>
      <c r="M222">
        <v>-2.41</v>
      </c>
      <c r="N222">
        <v>-4.7</v>
      </c>
      <c r="O222">
        <v>-6.98</v>
      </c>
      <c r="P222">
        <v>2.02</v>
      </c>
      <c r="Q222">
        <v>-5.22</v>
      </c>
      <c r="R222">
        <v>5.23</v>
      </c>
      <c r="S222">
        <v>14.63</v>
      </c>
      <c r="T222">
        <v>1.84</v>
      </c>
      <c r="U222">
        <v>2.52</v>
      </c>
      <c r="V222">
        <v>3.21</v>
      </c>
      <c r="W222">
        <v>3.93</v>
      </c>
      <c r="X222">
        <v>5.26</v>
      </c>
      <c r="Y222">
        <v>7.06</v>
      </c>
      <c r="Z222">
        <v>2.5499999999999998</v>
      </c>
      <c r="AA222">
        <v>2.77</v>
      </c>
      <c r="AB222">
        <v>0.63</v>
      </c>
      <c r="AC222">
        <v>1.33</v>
      </c>
      <c r="AD222">
        <v>0.99</v>
      </c>
      <c r="AE222">
        <v>2.0699999999999998</v>
      </c>
      <c r="AF222">
        <v>1.7233333333333329</v>
      </c>
      <c r="AG222" t="str">
        <f>HYPERLINK("https://finance.naver.com/item/fchart.naver?code=131030", "옵투스제약 차트보기")</f>
        <v>옵투스제약 차트보기</v>
      </c>
    </row>
    <row r="223" spans="1:33" x14ac:dyDescent="0.3">
      <c r="A223" t="s">
        <v>919</v>
      </c>
      <c r="B223" t="s">
        <v>55</v>
      </c>
      <c r="C223" t="s">
        <v>920</v>
      </c>
      <c r="D223">
        <v>768817.67</v>
      </c>
      <c r="E223" t="s">
        <v>921</v>
      </c>
      <c r="F223">
        <v>95.54</v>
      </c>
      <c r="G223">
        <v>1.2400000095367429</v>
      </c>
      <c r="H223">
        <v>28</v>
      </c>
      <c r="I223">
        <v>0</v>
      </c>
      <c r="J223" t="s">
        <v>922</v>
      </c>
      <c r="K223">
        <v>2810</v>
      </c>
      <c r="L223">
        <v>2675</v>
      </c>
      <c r="M223">
        <v>-4.8</v>
      </c>
      <c r="N223">
        <v>-3.78</v>
      </c>
      <c r="O223">
        <v>-2.97</v>
      </c>
      <c r="P223">
        <v>3.07</v>
      </c>
      <c r="Q223">
        <v>3.75</v>
      </c>
      <c r="R223">
        <v>3.14</v>
      </c>
      <c r="S223">
        <v>-11.13</v>
      </c>
      <c r="T223">
        <v>2.7</v>
      </c>
      <c r="U223">
        <v>2.5</v>
      </c>
      <c r="V223">
        <v>5.32</v>
      </c>
      <c r="W223">
        <v>4.3099999999999996</v>
      </c>
      <c r="X223">
        <v>4.57</v>
      </c>
      <c r="Y223">
        <v>1.98</v>
      </c>
      <c r="Z223">
        <v>1.4</v>
      </c>
      <c r="AA223">
        <v>1.19</v>
      </c>
      <c r="AB223">
        <v>0.57999999999999996</v>
      </c>
      <c r="AC223">
        <v>0.87</v>
      </c>
      <c r="AD223">
        <v>0.69</v>
      </c>
      <c r="AE223">
        <v>5.62</v>
      </c>
      <c r="AF223">
        <v>1.7250000000000001</v>
      </c>
      <c r="AG223" t="str">
        <f>HYPERLINK("https://finance.naver.com/item/fchart.naver?code=048870", "시너지이노베이션 차트보기")</f>
        <v>시너지이노베이션 차트보기</v>
      </c>
    </row>
    <row r="224" spans="1:33" x14ac:dyDescent="0.3">
      <c r="A224" t="s">
        <v>923</v>
      </c>
      <c r="B224" t="s">
        <v>34</v>
      </c>
      <c r="C224" t="s">
        <v>924</v>
      </c>
      <c r="D224">
        <v>148141.1</v>
      </c>
      <c r="E224" t="s">
        <v>925</v>
      </c>
      <c r="F224">
        <v>117.92</v>
      </c>
      <c r="G224">
        <v>0.51999998092651367</v>
      </c>
      <c r="H224">
        <v>173</v>
      </c>
      <c r="I224">
        <v>2.4500000476837158</v>
      </c>
      <c r="J224" t="s">
        <v>926</v>
      </c>
      <c r="K224">
        <v>20250</v>
      </c>
      <c r="L224">
        <v>20400</v>
      </c>
      <c r="M224">
        <v>0.74</v>
      </c>
      <c r="N224">
        <v>-4.67</v>
      </c>
      <c r="O224">
        <v>2.61</v>
      </c>
      <c r="P224">
        <v>-1.1599999999999999</v>
      </c>
      <c r="Q224">
        <v>2.56</v>
      </c>
      <c r="R224">
        <v>2.42</v>
      </c>
      <c r="S224">
        <v>-8.35</v>
      </c>
      <c r="T224">
        <v>1.65</v>
      </c>
      <c r="U224">
        <v>1.73</v>
      </c>
      <c r="V224">
        <v>2.17</v>
      </c>
      <c r="W224">
        <v>2.2599999999999998</v>
      </c>
      <c r="X224">
        <v>1.1200000000000001</v>
      </c>
      <c r="Y224">
        <v>3.8</v>
      </c>
      <c r="Z224">
        <v>2.83</v>
      </c>
      <c r="AA224">
        <v>1.51</v>
      </c>
      <c r="AB224">
        <v>0.53</v>
      </c>
      <c r="AC224">
        <v>1.1299999999999999</v>
      </c>
      <c r="AD224">
        <v>2.16</v>
      </c>
      <c r="AE224">
        <v>2.2000000000000002</v>
      </c>
      <c r="AF224">
        <v>1.726666666666667</v>
      </c>
      <c r="AG224" t="str">
        <f>HYPERLINK("https://finance.naver.com/item/fchart.naver?code=007070", "GS리테일 차트보기")</f>
        <v>GS리테일 차트보기</v>
      </c>
    </row>
    <row r="225" spans="1:33" x14ac:dyDescent="0.3">
      <c r="A225" t="s">
        <v>927</v>
      </c>
      <c r="B225" t="s">
        <v>55</v>
      </c>
      <c r="C225" t="s">
        <v>928</v>
      </c>
      <c r="D225">
        <v>31078.57</v>
      </c>
      <c r="E225" t="s">
        <v>929</v>
      </c>
      <c r="F225">
        <v>2.25</v>
      </c>
      <c r="G225">
        <v>0.50999999046325684</v>
      </c>
      <c r="H225">
        <v>3112</v>
      </c>
      <c r="I225">
        <v>2.5799999237060551</v>
      </c>
      <c r="J225" t="s">
        <v>930</v>
      </c>
      <c r="K225">
        <v>7380</v>
      </c>
      <c r="L225">
        <v>6990</v>
      </c>
      <c r="M225">
        <v>-5.28</v>
      </c>
      <c r="N225">
        <v>2.04</v>
      </c>
      <c r="O225">
        <v>-1.72</v>
      </c>
      <c r="P225">
        <v>3.65</v>
      </c>
      <c r="Q225">
        <v>-9.02</v>
      </c>
      <c r="R225">
        <v>-5.75</v>
      </c>
      <c r="S225">
        <v>5.13</v>
      </c>
      <c r="T225">
        <v>1.22</v>
      </c>
      <c r="U225">
        <v>1.73</v>
      </c>
      <c r="V225">
        <v>2.12</v>
      </c>
      <c r="W225">
        <v>3.55</v>
      </c>
      <c r="X225">
        <v>2.61</v>
      </c>
      <c r="Y225">
        <v>4.09</v>
      </c>
      <c r="Z225">
        <v>1.67</v>
      </c>
      <c r="AA225">
        <v>0.99</v>
      </c>
      <c r="AB225">
        <v>1.72</v>
      </c>
      <c r="AC225">
        <v>2.54</v>
      </c>
      <c r="AD225">
        <v>2.2000000000000002</v>
      </c>
      <c r="AE225">
        <v>1.25</v>
      </c>
      <c r="AF225">
        <v>1.7283333333333331</v>
      </c>
      <c r="AG225" t="str">
        <f>HYPERLINK("https://finance.naver.com/item/fchart.naver?code=038010", "제일테크노스 차트보기")</f>
        <v>제일테크노스 차트보기</v>
      </c>
    </row>
    <row r="226" spans="1:33" x14ac:dyDescent="0.3">
      <c r="A226" t="s">
        <v>931</v>
      </c>
      <c r="B226" t="s">
        <v>55</v>
      </c>
      <c r="C226" t="s">
        <v>932</v>
      </c>
      <c r="D226">
        <v>56178.76</v>
      </c>
      <c r="E226" t="s">
        <v>933</v>
      </c>
      <c r="F226">
        <v>7.13</v>
      </c>
      <c r="G226">
        <v>0.61000001430511475</v>
      </c>
      <c r="H226">
        <v>84</v>
      </c>
      <c r="I226">
        <v>0</v>
      </c>
      <c r="J226" t="s">
        <v>934</v>
      </c>
      <c r="K226">
        <v>739</v>
      </c>
      <c r="L226">
        <v>599</v>
      </c>
      <c r="M226">
        <v>-18.940000000000001</v>
      </c>
      <c r="N226">
        <v>-0.17</v>
      </c>
      <c r="O226">
        <v>-0.66</v>
      </c>
      <c r="P226">
        <v>-0.48</v>
      </c>
      <c r="Q226">
        <v>-7.34</v>
      </c>
      <c r="R226">
        <v>-7.94</v>
      </c>
      <c r="S226">
        <v>0</v>
      </c>
      <c r="T226">
        <v>0.4</v>
      </c>
      <c r="U226">
        <v>0.93</v>
      </c>
      <c r="V226">
        <v>1.23</v>
      </c>
      <c r="W226">
        <v>2.4</v>
      </c>
      <c r="X226">
        <v>1.37</v>
      </c>
      <c r="Y226">
        <v>2.21</v>
      </c>
      <c r="Z226">
        <v>0.42</v>
      </c>
      <c r="AA226">
        <v>0.71</v>
      </c>
      <c r="AB226">
        <v>0.39</v>
      </c>
      <c r="AC226">
        <v>3.06</v>
      </c>
      <c r="AD226">
        <v>5.8</v>
      </c>
      <c r="AE226">
        <v>0</v>
      </c>
      <c r="AF226">
        <v>1.73</v>
      </c>
      <c r="AG226" t="str">
        <f>HYPERLINK("https://finance.naver.com/item/fchart.naver?code=010280", "쌍용정보통신 차트보기")</f>
        <v>쌍용정보통신 차트보기</v>
      </c>
    </row>
    <row r="227" spans="1:33" x14ac:dyDescent="0.3">
      <c r="A227" t="s">
        <v>935</v>
      </c>
      <c r="B227" t="s">
        <v>34</v>
      </c>
      <c r="C227" t="s">
        <v>936</v>
      </c>
      <c r="D227">
        <v>609581.67000000004</v>
      </c>
      <c r="E227" t="s">
        <v>937</v>
      </c>
      <c r="F227">
        <v>26.42</v>
      </c>
      <c r="G227">
        <v>1.139999985694885</v>
      </c>
      <c r="H227">
        <v>6661</v>
      </c>
      <c r="I227">
        <v>0.68000000715255737</v>
      </c>
      <c r="J227" t="s">
        <v>938</v>
      </c>
      <c r="K227">
        <v>188500</v>
      </c>
      <c r="L227">
        <v>176000</v>
      </c>
      <c r="M227">
        <v>-6.63</v>
      </c>
      <c r="N227">
        <v>3.71</v>
      </c>
      <c r="O227">
        <v>1.07</v>
      </c>
      <c r="P227">
        <v>1.68</v>
      </c>
      <c r="Q227">
        <v>-3.37</v>
      </c>
      <c r="R227">
        <v>6.81</v>
      </c>
      <c r="S227">
        <v>-3.36</v>
      </c>
      <c r="T227">
        <v>1.97</v>
      </c>
      <c r="U227">
        <v>1.91</v>
      </c>
      <c r="V227">
        <v>2.1</v>
      </c>
      <c r="W227">
        <v>2.84</v>
      </c>
      <c r="X227">
        <v>1.98</v>
      </c>
      <c r="Y227">
        <v>1.33</v>
      </c>
      <c r="Z227">
        <v>1.88</v>
      </c>
      <c r="AA227">
        <v>0.56000000000000005</v>
      </c>
      <c r="AB227">
        <v>0.8</v>
      </c>
      <c r="AC227">
        <v>1.19</v>
      </c>
      <c r="AD227">
        <v>3.44</v>
      </c>
      <c r="AE227">
        <v>2.5299999999999998</v>
      </c>
      <c r="AF227">
        <v>1.7333333333333329</v>
      </c>
      <c r="AG227" t="str">
        <f>HYPERLINK("https://finance.naver.com/item/fchart.naver?code=035420", "NAVER 차트보기")</f>
        <v>NAVER 차트보기</v>
      </c>
    </row>
    <row r="228" spans="1:33" x14ac:dyDescent="0.3">
      <c r="A228" t="s">
        <v>939</v>
      </c>
      <c r="B228" t="s">
        <v>34</v>
      </c>
      <c r="C228" t="s">
        <v>940</v>
      </c>
      <c r="D228">
        <v>56383.86</v>
      </c>
      <c r="E228" t="s">
        <v>941</v>
      </c>
      <c r="F228">
        <v>0</v>
      </c>
      <c r="G228">
        <v>0.38999998569488531</v>
      </c>
      <c r="H228">
        <v>0</v>
      </c>
      <c r="I228">
        <v>0</v>
      </c>
      <c r="J228" t="s">
        <v>942</v>
      </c>
      <c r="K228">
        <v>771</v>
      </c>
      <c r="L228">
        <v>682</v>
      </c>
      <c r="M228">
        <v>-11.54</v>
      </c>
      <c r="N228">
        <v>-0.44</v>
      </c>
      <c r="O228">
        <v>-5.21</v>
      </c>
      <c r="P228">
        <v>-0.14000000000000001</v>
      </c>
      <c r="Q228">
        <v>-3.67</v>
      </c>
      <c r="R228">
        <v>1.2</v>
      </c>
      <c r="S228">
        <v>-1.04</v>
      </c>
      <c r="T228">
        <v>1.1200000000000001</v>
      </c>
      <c r="U228">
        <v>0.88</v>
      </c>
      <c r="V228">
        <v>1.7</v>
      </c>
      <c r="W228">
        <v>3.16</v>
      </c>
      <c r="X228">
        <v>0.96</v>
      </c>
      <c r="Y228">
        <v>0.65</v>
      </c>
      <c r="Z228">
        <v>0.39</v>
      </c>
      <c r="AA228">
        <v>5.92</v>
      </c>
      <c r="AB228">
        <v>0.08</v>
      </c>
      <c r="AC228">
        <v>1.1599999999999999</v>
      </c>
      <c r="AD228">
        <v>1.25</v>
      </c>
      <c r="AE228">
        <v>1.6</v>
      </c>
      <c r="AF228">
        <v>1.7333333333333329</v>
      </c>
      <c r="AG228" t="str">
        <f>HYPERLINK("https://finance.naver.com/item/fchart.naver?code=025750", "한솔홈데코 차트보기")</f>
        <v>한솔홈데코 차트보기</v>
      </c>
    </row>
    <row r="229" spans="1:33" x14ac:dyDescent="0.3">
      <c r="A229" t="s">
        <v>943</v>
      </c>
      <c r="B229" t="s">
        <v>34</v>
      </c>
      <c r="C229" t="s">
        <v>944</v>
      </c>
      <c r="D229">
        <v>412.81</v>
      </c>
      <c r="E229" t="s">
        <v>945</v>
      </c>
      <c r="F229">
        <v>0</v>
      </c>
      <c r="G229">
        <v>0</v>
      </c>
      <c r="H229">
        <v>0</v>
      </c>
      <c r="I229">
        <v>0</v>
      </c>
      <c r="J229" t="s">
        <v>946</v>
      </c>
      <c r="K229">
        <v>11350</v>
      </c>
      <c r="L229">
        <v>8840</v>
      </c>
      <c r="M229">
        <v>-22.11</v>
      </c>
      <c r="N229">
        <v>-1.01</v>
      </c>
      <c r="O229">
        <v>-4.07</v>
      </c>
      <c r="P229">
        <v>-4.18</v>
      </c>
      <c r="Q229">
        <v>-0.7</v>
      </c>
      <c r="R229">
        <v>-5.74</v>
      </c>
      <c r="S229">
        <v>6.76</v>
      </c>
      <c r="T229">
        <v>7.97</v>
      </c>
      <c r="U229">
        <v>0.96</v>
      </c>
      <c r="V229">
        <v>1.72</v>
      </c>
      <c r="W229">
        <v>2.97</v>
      </c>
      <c r="X229">
        <v>2.09</v>
      </c>
      <c r="Y229">
        <v>11.11</v>
      </c>
      <c r="Z229">
        <v>0.13</v>
      </c>
      <c r="AA229">
        <v>4.24</v>
      </c>
      <c r="AB229">
        <v>2.4300000000000002</v>
      </c>
      <c r="AC229">
        <v>0.24</v>
      </c>
      <c r="AD229">
        <v>2.75</v>
      </c>
      <c r="AE229">
        <v>0.61</v>
      </c>
      <c r="AF229">
        <v>1.7333333333333329</v>
      </c>
      <c r="AG229" t="str">
        <f>HYPERLINK("https://finance.naver.com/item/fchart.naver?code=002995", "금호건설우 차트보기")</f>
        <v>금호건설우 차트보기</v>
      </c>
    </row>
    <row r="230" spans="1:33" x14ac:dyDescent="0.3">
      <c r="A230" t="s">
        <v>947</v>
      </c>
      <c r="B230" t="s">
        <v>55</v>
      </c>
      <c r="C230" t="s">
        <v>948</v>
      </c>
      <c r="D230">
        <v>75002.86</v>
      </c>
      <c r="E230" t="s">
        <v>949</v>
      </c>
      <c r="F230">
        <v>14.2</v>
      </c>
      <c r="G230">
        <v>0.80000001192092896</v>
      </c>
      <c r="H230">
        <v>381</v>
      </c>
      <c r="I230">
        <v>0.92000001668930054</v>
      </c>
      <c r="J230" t="s">
        <v>950</v>
      </c>
      <c r="K230">
        <v>5820</v>
      </c>
      <c r="L230">
        <v>5410</v>
      </c>
      <c r="M230">
        <v>-7.04</v>
      </c>
      <c r="N230">
        <v>5.05</v>
      </c>
      <c r="O230">
        <v>-2.02</v>
      </c>
      <c r="P230">
        <v>-8.36</v>
      </c>
      <c r="Q230">
        <v>-11.98</v>
      </c>
      <c r="R230">
        <v>5.19</v>
      </c>
      <c r="S230">
        <v>-4.5999999999999996</v>
      </c>
      <c r="T230">
        <v>3.49</v>
      </c>
      <c r="U230">
        <v>2.2999999999999998</v>
      </c>
      <c r="V230">
        <v>2.57</v>
      </c>
      <c r="W230">
        <v>4.8600000000000003</v>
      </c>
      <c r="X230">
        <v>2.8</v>
      </c>
      <c r="Y230">
        <v>9.0500000000000007</v>
      </c>
      <c r="Z230">
        <v>1.45</v>
      </c>
      <c r="AA230">
        <v>0.88</v>
      </c>
      <c r="AB230">
        <v>3.25</v>
      </c>
      <c r="AC230">
        <v>2.4700000000000002</v>
      </c>
      <c r="AD230">
        <v>1.85</v>
      </c>
      <c r="AE230">
        <v>0.51</v>
      </c>
      <c r="AF230">
        <v>1.7350000000000001</v>
      </c>
      <c r="AG230" t="str">
        <f>HYPERLINK("https://finance.naver.com/item/fchart.naver?code=101170", "우림피티에스 차트보기")</f>
        <v>우림피티에스 차트보기</v>
      </c>
    </row>
    <row r="231" spans="1:33" x14ac:dyDescent="0.3">
      <c r="A231" t="s">
        <v>951</v>
      </c>
      <c r="B231" t="s">
        <v>55</v>
      </c>
      <c r="C231" t="s">
        <v>952</v>
      </c>
      <c r="D231">
        <v>42833.48</v>
      </c>
      <c r="E231" t="s">
        <v>953</v>
      </c>
      <c r="F231">
        <v>0</v>
      </c>
      <c r="G231">
        <v>2.970000028610229</v>
      </c>
      <c r="H231">
        <v>0</v>
      </c>
      <c r="I231">
        <v>0</v>
      </c>
      <c r="J231" t="s">
        <v>954</v>
      </c>
      <c r="K231">
        <v>4890</v>
      </c>
      <c r="L231">
        <v>3930</v>
      </c>
      <c r="M231">
        <v>-19.63</v>
      </c>
      <c r="N231">
        <v>0.64</v>
      </c>
      <c r="O231">
        <v>-3.09</v>
      </c>
      <c r="P231">
        <v>-5.57</v>
      </c>
      <c r="Q231">
        <v>-1.53</v>
      </c>
      <c r="R231">
        <v>-4.3499999999999996</v>
      </c>
      <c r="S231">
        <v>0.97</v>
      </c>
      <c r="T231">
        <v>0.92</v>
      </c>
      <c r="U231">
        <v>1.26</v>
      </c>
      <c r="V231">
        <v>1.83</v>
      </c>
      <c r="W231">
        <v>4.01</v>
      </c>
      <c r="X231">
        <v>1.4</v>
      </c>
      <c r="Y231">
        <v>1.29</v>
      </c>
      <c r="Z231">
        <v>0.7</v>
      </c>
      <c r="AA231">
        <v>2.4500000000000002</v>
      </c>
      <c r="AB231">
        <v>3.04</v>
      </c>
      <c r="AC231">
        <v>0.38</v>
      </c>
      <c r="AD231">
        <v>3.11</v>
      </c>
      <c r="AE231">
        <v>0.75</v>
      </c>
      <c r="AF231">
        <v>1.7383333333333331</v>
      </c>
      <c r="AG231" t="str">
        <f>HYPERLINK("https://finance.naver.com/item/fchart.naver?code=261780", "차백신연구소 차트보기")</f>
        <v>차백신연구소 차트보기</v>
      </c>
    </row>
    <row r="232" spans="1:33" x14ac:dyDescent="0.3">
      <c r="A232" t="s">
        <v>955</v>
      </c>
      <c r="B232" t="s">
        <v>34</v>
      </c>
      <c r="C232" t="s">
        <v>956</v>
      </c>
      <c r="D232">
        <v>64260.95</v>
      </c>
      <c r="E232" t="s">
        <v>957</v>
      </c>
      <c r="F232">
        <v>11.13</v>
      </c>
      <c r="G232">
        <v>1.720000028610229</v>
      </c>
      <c r="H232">
        <v>266</v>
      </c>
      <c r="I232">
        <v>3.5499999523162842</v>
      </c>
      <c r="J232" t="s">
        <v>958</v>
      </c>
      <c r="K232">
        <v>3010</v>
      </c>
      <c r="L232">
        <v>2960</v>
      </c>
      <c r="M232">
        <v>-1.66</v>
      </c>
      <c r="N232">
        <v>0.34</v>
      </c>
      <c r="O232">
        <v>-2.6</v>
      </c>
      <c r="P232">
        <v>-5.23</v>
      </c>
      <c r="Q232">
        <v>4.01</v>
      </c>
      <c r="R232">
        <v>2.71</v>
      </c>
      <c r="S232">
        <v>6.31</v>
      </c>
      <c r="T232">
        <v>0.96</v>
      </c>
      <c r="U232">
        <v>1.05</v>
      </c>
      <c r="V232">
        <v>4.41</v>
      </c>
      <c r="W232">
        <v>2.64</v>
      </c>
      <c r="X232">
        <v>1.37</v>
      </c>
      <c r="Y232">
        <v>2.16</v>
      </c>
      <c r="Z232">
        <v>0.35</v>
      </c>
      <c r="AA232">
        <v>2.48</v>
      </c>
      <c r="AB232">
        <v>1.19</v>
      </c>
      <c r="AC232">
        <v>1.52</v>
      </c>
      <c r="AD232">
        <v>1.98</v>
      </c>
      <c r="AE232">
        <v>2.92</v>
      </c>
      <c r="AF232">
        <v>1.74</v>
      </c>
      <c r="AG232" t="str">
        <f>HYPERLINK("https://finance.naver.com/item/fchart.naver?code=096760", "JW홀딩스 차트보기")</f>
        <v>JW홀딩스 차트보기</v>
      </c>
    </row>
    <row r="233" spans="1:33" x14ac:dyDescent="0.3">
      <c r="A233" t="s">
        <v>959</v>
      </c>
      <c r="B233" t="s">
        <v>34</v>
      </c>
      <c r="C233" t="s">
        <v>960</v>
      </c>
      <c r="D233">
        <v>15204.52</v>
      </c>
      <c r="E233" t="s">
        <v>961</v>
      </c>
      <c r="F233">
        <v>6.7</v>
      </c>
      <c r="G233">
        <v>0.56000000238418579</v>
      </c>
      <c r="H233">
        <v>1950</v>
      </c>
      <c r="I233">
        <v>2.2999999523162842</v>
      </c>
      <c r="J233" t="s">
        <v>962</v>
      </c>
      <c r="K233">
        <v>14410</v>
      </c>
      <c r="L233">
        <v>13060</v>
      </c>
      <c r="M233">
        <v>-9.3699999999999992</v>
      </c>
      <c r="N233">
        <v>-0.99</v>
      </c>
      <c r="O233">
        <v>2.04</v>
      </c>
      <c r="P233">
        <v>-2.2000000000000002</v>
      </c>
      <c r="Q233">
        <v>-6.87</v>
      </c>
      <c r="R233">
        <v>-2.2400000000000002</v>
      </c>
      <c r="S233">
        <v>-0.28000000000000003</v>
      </c>
      <c r="T233">
        <v>1.1200000000000001</v>
      </c>
      <c r="U233">
        <v>1.04</v>
      </c>
      <c r="V233">
        <v>0.93</v>
      </c>
      <c r="W233">
        <v>1.93</v>
      </c>
      <c r="X233">
        <v>1.51</v>
      </c>
      <c r="Y233">
        <v>1.41</v>
      </c>
      <c r="Z233">
        <v>0.88</v>
      </c>
      <c r="AA233">
        <v>1.96</v>
      </c>
      <c r="AB233">
        <v>2.37</v>
      </c>
      <c r="AC233">
        <v>3.56</v>
      </c>
      <c r="AD233">
        <v>1.48</v>
      </c>
      <c r="AE233">
        <v>0.2</v>
      </c>
      <c r="AF233">
        <v>1.741666666666666</v>
      </c>
      <c r="AG233" t="str">
        <f>HYPERLINK("https://finance.naver.com/item/fchart.naver?code=016580", "환인제약 차트보기")</f>
        <v>환인제약 차트보기</v>
      </c>
    </row>
    <row r="234" spans="1:33" x14ac:dyDescent="0.3">
      <c r="A234" t="s">
        <v>963</v>
      </c>
      <c r="B234" t="s">
        <v>55</v>
      </c>
      <c r="C234" t="s">
        <v>964</v>
      </c>
      <c r="D234">
        <v>562566.24</v>
      </c>
      <c r="E234" t="s">
        <v>965</v>
      </c>
      <c r="F234">
        <v>0</v>
      </c>
      <c r="G234">
        <v>0.74000000953674316</v>
      </c>
      <c r="H234">
        <v>0</v>
      </c>
      <c r="I234">
        <v>0</v>
      </c>
      <c r="J234" t="s">
        <v>966</v>
      </c>
      <c r="K234">
        <v>3835</v>
      </c>
      <c r="L234">
        <v>3240</v>
      </c>
      <c r="M234">
        <v>-15.51</v>
      </c>
      <c r="N234">
        <v>5.19</v>
      </c>
      <c r="O234">
        <v>-2.76</v>
      </c>
      <c r="P234">
        <v>-1.78</v>
      </c>
      <c r="Q234">
        <v>-13.77</v>
      </c>
      <c r="R234">
        <v>2.48</v>
      </c>
      <c r="S234">
        <v>4.2</v>
      </c>
      <c r="T234">
        <v>1.71</v>
      </c>
      <c r="U234">
        <v>1.98</v>
      </c>
      <c r="V234">
        <v>2.2599999999999998</v>
      </c>
      <c r="W234">
        <v>4.2300000000000004</v>
      </c>
      <c r="X234">
        <v>2.39</v>
      </c>
      <c r="Y234">
        <v>4.45</v>
      </c>
      <c r="Z234">
        <v>3.04</v>
      </c>
      <c r="AA234">
        <v>1.39</v>
      </c>
      <c r="AB234">
        <v>0.79</v>
      </c>
      <c r="AC234">
        <v>3.26</v>
      </c>
      <c r="AD234">
        <v>1.04</v>
      </c>
      <c r="AE234">
        <v>0.94</v>
      </c>
      <c r="AF234">
        <v>1.743333333333333</v>
      </c>
      <c r="AG234" t="str">
        <f>HYPERLINK("https://finance.naver.com/item/fchart.naver?code=064260", "다날 차트보기")</f>
        <v>다날 차트보기</v>
      </c>
    </row>
    <row r="235" spans="1:33" x14ac:dyDescent="0.3">
      <c r="A235" t="s">
        <v>967</v>
      </c>
      <c r="B235" t="s">
        <v>34</v>
      </c>
      <c r="C235" t="s">
        <v>968</v>
      </c>
      <c r="D235">
        <v>420324.81</v>
      </c>
      <c r="E235" t="s">
        <v>969</v>
      </c>
      <c r="F235">
        <v>12.6</v>
      </c>
      <c r="G235">
        <v>1.139999985694885</v>
      </c>
      <c r="H235">
        <v>1140</v>
      </c>
      <c r="I235">
        <v>2.089999914169312</v>
      </c>
      <c r="J235" t="s">
        <v>970</v>
      </c>
      <c r="K235">
        <v>15260</v>
      </c>
      <c r="L235">
        <v>14360</v>
      </c>
      <c r="M235">
        <v>-5.9</v>
      </c>
      <c r="N235">
        <v>0.42</v>
      </c>
      <c r="O235">
        <v>-0.14000000000000001</v>
      </c>
      <c r="P235">
        <v>-0.95</v>
      </c>
      <c r="Q235">
        <v>-4.4800000000000004</v>
      </c>
      <c r="R235">
        <v>10.57</v>
      </c>
      <c r="S235">
        <v>-3.36</v>
      </c>
      <c r="T235">
        <v>0.67</v>
      </c>
      <c r="U235">
        <v>1.98</v>
      </c>
      <c r="V235">
        <v>1.32</v>
      </c>
      <c r="W235">
        <v>3.75</v>
      </c>
      <c r="X235">
        <v>4.34</v>
      </c>
      <c r="Y235">
        <v>0.62</v>
      </c>
      <c r="Z235">
        <v>0.63</v>
      </c>
      <c r="AA235">
        <v>7.0000000000000007E-2</v>
      </c>
      <c r="AB235">
        <v>0.72</v>
      </c>
      <c r="AC235">
        <v>1.19</v>
      </c>
      <c r="AD235">
        <v>2.44</v>
      </c>
      <c r="AE235">
        <v>5.42</v>
      </c>
      <c r="AF235">
        <v>1.7450000000000001</v>
      </c>
      <c r="AG235" t="str">
        <f>HYPERLINK("https://finance.naver.com/item/fchart.naver?code=003220", "대원제약 차트보기")</f>
        <v>대원제약 차트보기</v>
      </c>
    </row>
    <row r="236" spans="1:33" x14ac:dyDescent="0.3">
      <c r="A236" t="s">
        <v>971</v>
      </c>
      <c r="B236" t="s">
        <v>55</v>
      </c>
      <c r="C236" t="s">
        <v>972</v>
      </c>
      <c r="D236">
        <v>56076</v>
      </c>
      <c r="E236" t="s">
        <v>973</v>
      </c>
      <c r="F236">
        <v>16.510000000000002</v>
      </c>
      <c r="G236">
        <v>0.99000000953674316</v>
      </c>
      <c r="H236">
        <v>621</v>
      </c>
      <c r="I236">
        <v>1.4600000381469731</v>
      </c>
      <c r="J236" t="s">
        <v>974</v>
      </c>
      <c r="K236">
        <v>10920</v>
      </c>
      <c r="L236">
        <v>10250</v>
      </c>
      <c r="M236">
        <v>-6.14</v>
      </c>
      <c r="N236">
        <v>-3.21</v>
      </c>
      <c r="O236">
        <v>4.43</v>
      </c>
      <c r="P236">
        <v>-3.1</v>
      </c>
      <c r="Q236">
        <v>-2.71</v>
      </c>
      <c r="R236">
        <v>0.09</v>
      </c>
      <c r="S236">
        <v>-0.19</v>
      </c>
      <c r="T236">
        <v>0.98</v>
      </c>
      <c r="U236">
        <v>1.33</v>
      </c>
      <c r="V236">
        <v>1.17</v>
      </c>
      <c r="W236">
        <v>2.88</v>
      </c>
      <c r="X236">
        <v>0.7</v>
      </c>
      <c r="Y236">
        <v>1.37</v>
      </c>
      <c r="Z236">
        <v>3.28</v>
      </c>
      <c r="AA236">
        <v>3.33</v>
      </c>
      <c r="AB236">
        <v>2.65</v>
      </c>
      <c r="AC236">
        <v>0.94</v>
      </c>
      <c r="AD236">
        <v>0.13</v>
      </c>
      <c r="AE236">
        <v>0.14000000000000001</v>
      </c>
      <c r="AF236">
        <v>1.7450000000000001</v>
      </c>
      <c r="AG236" t="str">
        <f>HYPERLINK("https://finance.naver.com/item/fchart.naver?code=072020", "중앙백신 차트보기")</f>
        <v>중앙백신 차트보기</v>
      </c>
    </row>
    <row r="237" spans="1:33" x14ac:dyDescent="0.3">
      <c r="A237" t="s">
        <v>975</v>
      </c>
      <c r="B237" t="s">
        <v>55</v>
      </c>
      <c r="C237" t="s">
        <v>976</v>
      </c>
      <c r="D237">
        <v>2690491.81</v>
      </c>
      <c r="E237" t="s">
        <v>977</v>
      </c>
      <c r="F237">
        <v>0</v>
      </c>
      <c r="G237">
        <v>1.049999952316284</v>
      </c>
      <c r="H237">
        <v>0</v>
      </c>
      <c r="I237">
        <v>0</v>
      </c>
      <c r="J237" t="s">
        <v>978</v>
      </c>
      <c r="K237">
        <v>1584</v>
      </c>
      <c r="L237">
        <v>1488</v>
      </c>
      <c r="M237">
        <v>-6.06</v>
      </c>
      <c r="N237">
        <v>-1.33</v>
      </c>
      <c r="O237">
        <v>6.88</v>
      </c>
      <c r="P237">
        <v>1.91</v>
      </c>
      <c r="Q237">
        <v>-14.77</v>
      </c>
      <c r="R237">
        <v>-6.23</v>
      </c>
      <c r="S237">
        <v>-0.38</v>
      </c>
      <c r="T237">
        <v>2.27</v>
      </c>
      <c r="U237">
        <v>4.5199999999999996</v>
      </c>
      <c r="V237">
        <v>2.56</v>
      </c>
      <c r="W237">
        <v>3.84</v>
      </c>
      <c r="X237">
        <v>1.72</v>
      </c>
      <c r="Y237">
        <v>2.36</v>
      </c>
      <c r="Z237">
        <v>0.59</v>
      </c>
      <c r="AA237">
        <v>1.52</v>
      </c>
      <c r="AB237">
        <v>0.75</v>
      </c>
      <c r="AC237">
        <v>3.85</v>
      </c>
      <c r="AD237">
        <v>3.62</v>
      </c>
      <c r="AE237">
        <v>0.16</v>
      </c>
      <c r="AF237">
        <v>1.7483333333333331</v>
      </c>
      <c r="AG237" t="str">
        <f>HYPERLINK("https://finance.naver.com/item/fchart.naver?code=046390", "삼화네트웍스 차트보기")</f>
        <v>삼화네트웍스 차트보기</v>
      </c>
    </row>
    <row r="238" spans="1:33" x14ac:dyDescent="0.3">
      <c r="A238" t="s">
        <v>979</v>
      </c>
      <c r="B238" t="s">
        <v>55</v>
      </c>
      <c r="C238" t="s">
        <v>980</v>
      </c>
      <c r="D238">
        <v>242856.76</v>
      </c>
      <c r="E238" t="s">
        <v>981</v>
      </c>
      <c r="F238">
        <v>13.97</v>
      </c>
      <c r="G238">
        <v>1.950000047683716</v>
      </c>
      <c r="H238">
        <v>1181</v>
      </c>
      <c r="I238">
        <v>1.2100000381469731</v>
      </c>
      <c r="J238" t="s">
        <v>982</v>
      </c>
      <c r="K238">
        <v>17310</v>
      </c>
      <c r="L238">
        <v>16500</v>
      </c>
      <c r="M238">
        <v>-4.68</v>
      </c>
      <c r="N238">
        <v>8.1300000000000008</v>
      </c>
      <c r="O238">
        <v>-5.89</v>
      </c>
      <c r="P238">
        <v>-8.94</v>
      </c>
      <c r="Q238">
        <v>3.16</v>
      </c>
      <c r="R238">
        <v>2.0299999999999998</v>
      </c>
      <c r="S238">
        <v>-3.52</v>
      </c>
      <c r="T238">
        <v>4.4000000000000004</v>
      </c>
      <c r="U238">
        <v>4.21</v>
      </c>
      <c r="V238">
        <v>2.08</v>
      </c>
      <c r="W238">
        <v>4.67</v>
      </c>
      <c r="X238">
        <v>2.69</v>
      </c>
      <c r="Y238">
        <v>2.3199999999999998</v>
      </c>
      <c r="Z238">
        <v>1.85</v>
      </c>
      <c r="AA238">
        <v>1.4</v>
      </c>
      <c r="AB238">
        <v>4.3</v>
      </c>
      <c r="AC238">
        <v>0.68</v>
      </c>
      <c r="AD238">
        <v>0.75</v>
      </c>
      <c r="AE238">
        <v>1.52</v>
      </c>
      <c r="AF238">
        <v>1.75</v>
      </c>
      <c r="AG238" t="str">
        <f>HYPERLINK("https://finance.naver.com/item/fchart.naver?code=206640", "바디텍메드 차트보기")</f>
        <v>바디텍메드 차트보기</v>
      </c>
    </row>
    <row r="239" spans="1:33" x14ac:dyDescent="0.3">
      <c r="A239" t="s">
        <v>983</v>
      </c>
      <c r="B239" t="s">
        <v>34</v>
      </c>
      <c r="C239" t="s">
        <v>984</v>
      </c>
      <c r="D239">
        <v>19862.240000000002</v>
      </c>
      <c r="E239" t="s">
        <v>985</v>
      </c>
      <c r="F239">
        <v>10.15</v>
      </c>
      <c r="G239">
        <v>0.18999999761581421</v>
      </c>
      <c r="H239">
        <v>1805</v>
      </c>
      <c r="I239">
        <v>3.279999971389771</v>
      </c>
      <c r="J239" t="s">
        <v>986</v>
      </c>
      <c r="K239">
        <v>20900</v>
      </c>
      <c r="L239">
        <v>18320</v>
      </c>
      <c r="M239">
        <v>-12.34</v>
      </c>
      <c r="N239">
        <v>-4.33</v>
      </c>
      <c r="O239">
        <v>2.19</v>
      </c>
      <c r="P239">
        <v>-0.88</v>
      </c>
      <c r="Q239">
        <v>0.52</v>
      </c>
      <c r="R239">
        <v>-2.13</v>
      </c>
      <c r="S239">
        <v>-0.25</v>
      </c>
      <c r="T239">
        <v>0.99</v>
      </c>
      <c r="U239">
        <v>1.54</v>
      </c>
      <c r="V239">
        <v>1.34</v>
      </c>
      <c r="W239">
        <v>2.42</v>
      </c>
      <c r="X239">
        <v>0.57999999999999996</v>
      </c>
      <c r="Y239">
        <v>1.51</v>
      </c>
      <c r="Z239">
        <v>4.37</v>
      </c>
      <c r="AA239">
        <v>1.42</v>
      </c>
      <c r="AB239">
        <v>0.66</v>
      </c>
      <c r="AC239">
        <v>0.21</v>
      </c>
      <c r="AD239">
        <v>3.67</v>
      </c>
      <c r="AE239">
        <v>0.17</v>
      </c>
      <c r="AF239">
        <v>1.75</v>
      </c>
      <c r="AG239" t="str">
        <f>HYPERLINK("https://finance.naver.com/item/fchart.naver?code=002320", "한진 차트보기")</f>
        <v>한진 차트보기</v>
      </c>
    </row>
    <row r="240" spans="1:33" x14ac:dyDescent="0.3">
      <c r="A240" t="s">
        <v>987</v>
      </c>
      <c r="B240" t="s">
        <v>55</v>
      </c>
      <c r="C240" t="s">
        <v>988</v>
      </c>
      <c r="D240">
        <v>103744.76</v>
      </c>
      <c r="E240" t="s">
        <v>989</v>
      </c>
      <c r="F240">
        <v>0</v>
      </c>
      <c r="G240">
        <v>1.0399999618530269</v>
      </c>
      <c r="H240">
        <v>0</v>
      </c>
      <c r="I240">
        <v>0</v>
      </c>
      <c r="J240" t="s">
        <v>990</v>
      </c>
      <c r="K240">
        <v>1250</v>
      </c>
      <c r="L240">
        <v>1058</v>
      </c>
      <c r="M240">
        <v>-15.36</v>
      </c>
      <c r="N240">
        <v>5.48</v>
      </c>
      <c r="O240">
        <v>2.61</v>
      </c>
      <c r="P240">
        <v>0.7</v>
      </c>
      <c r="Q240">
        <v>-12.28</v>
      </c>
      <c r="R240">
        <v>0.26</v>
      </c>
      <c r="S240">
        <v>-2</v>
      </c>
      <c r="T240">
        <v>1.64</v>
      </c>
      <c r="U240">
        <v>1.75</v>
      </c>
      <c r="V240">
        <v>1.84</v>
      </c>
      <c r="W240">
        <v>3.03</v>
      </c>
      <c r="X240">
        <v>2.09</v>
      </c>
      <c r="Y240">
        <v>1.76</v>
      </c>
      <c r="Z240">
        <v>3.34</v>
      </c>
      <c r="AA240">
        <v>1.49</v>
      </c>
      <c r="AB240">
        <v>0.38</v>
      </c>
      <c r="AC240">
        <v>4.05</v>
      </c>
      <c r="AD240">
        <v>0.12</v>
      </c>
      <c r="AE240">
        <v>1.1399999999999999</v>
      </c>
      <c r="AF240">
        <v>1.753333333333333</v>
      </c>
      <c r="AG240" t="str">
        <f>HYPERLINK("https://finance.naver.com/item/fchart.naver?code=010170", "대한광통신 차트보기")</f>
        <v>대한광통신 차트보기</v>
      </c>
    </row>
    <row r="241" spans="1:33" x14ac:dyDescent="0.3">
      <c r="A241" t="s">
        <v>991</v>
      </c>
      <c r="B241" t="s">
        <v>34</v>
      </c>
      <c r="C241" t="s">
        <v>992</v>
      </c>
      <c r="D241">
        <v>99086.29</v>
      </c>
      <c r="E241" t="s">
        <v>993</v>
      </c>
      <c r="F241">
        <v>3.48</v>
      </c>
      <c r="G241">
        <v>0.30000001192092901</v>
      </c>
      <c r="H241">
        <v>1282</v>
      </c>
      <c r="I241">
        <v>2.2400000095367432</v>
      </c>
      <c r="J241" t="s">
        <v>994</v>
      </c>
      <c r="K241">
        <v>5480</v>
      </c>
      <c r="L241">
        <v>4460</v>
      </c>
      <c r="M241">
        <v>-18.61</v>
      </c>
      <c r="N241">
        <v>0.34</v>
      </c>
      <c r="O241">
        <v>-1.55</v>
      </c>
      <c r="P241">
        <v>-6.15</v>
      </c>
      <c r="Q241">
        <v>-8.35</v>
      </c>
      <c r="R241">
        <v>0</v>
      </c>
      <c r="S241">
        <v>0.37</v>
      </c>
      <c r="T241">
        <v>0.72</v>
      </c>
      <c r="U241">
        <v>0.78</v>
      </c>
      <c r="V241">
        <v>1.18</v>
      </c>
      <c r="W241">
        <v>3.39</v>
      </c>
      <c r="X241">
        <v>0.9</v>
      </c>
      <c r="Y241">
        <v>0.9</v>
      </c>
      <c r="Z241">
        <v>0.47</v>
      </c>
      <c r="AA241">
        <v>1.99</v>
      </c>
      <c r="AB241">
        <v>5.21</v>
      </c>
      <c r="AC241">
        <v>2.46</v>
      </c>
      <c r="AD241">
        <v>0</v>
      </c>
      <c r="AE241">
        <v>0.41</v>
      </c>
      <c r="AF241">
        <v>1.756666666666667</v>
      </c>
      <c r="AG241" t="str">
        <f>HYPERLINK("https://finance.naver.com/item/fchart.naver?code=023350", "한국종합기술 차트보기")</f>
        <v>한국종합기술 차트보기</v>
      </c>
    </row>
    <row r="242" spans="1:33" x14ac:dyDescent="0.3">
      <c r="A242" t="s">
        <v>995</v>
      </c>
      <c r="B242" t="s">
        <v>55</v>
      </c>
      <c r="C242" t="s">
        <v>996</v>
      </c>
      <c r="D242">
        <v>273192.38</v>
      </c>
      <c r="E242" t="s">
        <v>997</v>
      </c>
      <c r="F242">
        <v>26.59</v>
      </c>
      <c r="G242">
        <v>1.0399999618530269</v>
      </c>
      <c r="H242">
        <v>1666</v>
      </c>
      <c r="I242">
        <v>0.79000002145767212</v>
      </c>
      <c r="J242" t="s">
        <v>998</v>
      </c>
      <c r="K242">
        <v>37650</v>
      </c>
      <c r="L242">
        <v>44300</v>
      </c>
      <c r="M242">
        <v>17.66</v>
      </c>
      <c r="N242">
        <v>-5.84</v>
      </c>
      <c r="O242">
        <v>1.64</v>
      </c>
      <c r="P242">
        <v>4.2699999999999996</v>
      </c>
      <c r="Q242">
        <v>19.7</v>
      </c>
      <c r="R242">
        <v>3.12</v>
      </c>
      <c r="S242">
        <v>-1.57</v>
      </c>
      <c r="T242">
        <v>3.52</v>
      </c>
      <c r="U242">
        <v>1.94</v>
      </c>
      <c r="V242">
        <v>2.92</v>
      </c>
      <c r="W242">
        <v>4.0599999999999996</v>
      </c>
      <c r="X242">
        <v>2.92</v>
      </c>
      <c r="Y242">
        <v>2.33</v>
      </c>
      <c r="Z242">
        <v>1.66</v>
      </c>
      <c r="AA242">
        <v>0.85</v>
      </c>
      <c r="AB242">
        <v>1.46</v>
      </c>
      <c r="AC242">
        <v>4.8499999999999996</v>
      </c>
      <c r="AD242">
        <v>1.07</v>
      </c>
      <c r="AE242">
        <v>0.67</v>
      </c>
      <c r="AF242">
        <v>1.76</v>
      </c>
      <c r="AG242" t="str">
        <f>HYPERLINK("https://finance.naver.com/item/fchart.naver?code=195940", "HK이노엔 차트보기")</f>
        <v>HK이노엔 차트보기</v>
      </c>
    </row>
    <row r="243" spans="1:33" x14ac:dyDescent="0.3">
      <c r="A243" t="s">
        <v>999</v>
      </c>
      <c r="B243" t="s">
        <v>34</v>
      </c>
      <c r="C243" t="s">
        <v>1000</v>
      </c>
      <c r="D243">
        <v>2049.7600000000002</v>
      </c>
      <c r="E243" t="s">
        <v>1001</v>
      </c>
      <c r="F243">
        <v>5.64</v>
      </c>
      <c r="G243">
        <v>0.4699999988079071</v>
      </c>
      <c r="H243">
        <v>9744</v>
      </c>
      <c r="I243">
        <v>2.5499999523162842</v>
      </c>
      <c r="J243" t="s">
        <v>1002</v>
      </c>
      <c r="K243">
        <v>60300</v>
      </c>
      <c r="L243">
        <v>55000</v>
      </c>
      <c r="M243">
        <v>-8.7899999999999991</v>
      </c>
      <c r="N243">
        <v>0</v>
      </c>
      <c r="O243">
        <v>-2.79</v>
      </c>
      <c r="P243">
        <v>0.86</v>
      </c>
      <c r="Q243">
        <v>7.81</v>
      </c>
      <c r="R243">
        <v>-1.3</v>
      </c>
      <c r="S243">
        <v>-4.5999999999999996</v>
      </c>
      <c r="T243">
        <v>1.67</v>
      </c>
      <c r="U243">
        <v>1.67</v>
      </c>
      <c r="V243">
        <v>1.95</v>
      </c>
      <c r="W243">
        <v>2.99</v>
      </c>
      <c r="X243">
        <v>1.17</v>
      </c>
      <c r="Y243">
        <v>0.97</v>
      </c>
      <c r="Z243">
        <v>0</v>
      </c>
      <c r="AA243">
        <v>1.67</v>
      </c>
      <c r="AB243">
        <v>0.44</v>
      </c>
      <c r="AC243">
        <v>2.61</v>
      </c>
      <c r="AD243">
        <v>1.1100000000000001</v>
      </c>
      <c r="AE243">
        <v>4.74</v>
      </c>
      <c r="AF243">
        <v>1.7616666666666669</v>
      </c>
      <c r="AG243" t="str">
        <f>HYPERLINK("https://finance.naver.com/item/fchart.naver?code=001630", "종근당홀딩스 차트보기")</f>
        <v>종근당홀딩스 차트보기</v>
      </c>
    </row>
    <row r="244" spans="1:33" x14ac:dyDescent="0.3">
      <c r="A244" t="s">
        <v>1003</v>
      </c>
      <c r="B244" t="s">
        <v>34</v>
      </c>
      <c r="C244" t="s">
        <v>1004</v>
      </c>
      <c r="D244">
        <v>47693.48</v>
      </c>
      <c r="E244" t="s">
        <v>1005</v>
      </c>
      <c r="F244">
        <v>0</v>
      </c>
      <c r="G244">
        <v>0.74000000953674316</v>
      </c>
      <c r="H244">
        <v>0</v>
      </c>
      <c r="I244">
        <v>1.870000004768372</v>
      </c>
      <c r="J244" t="s">
        <v>1006</v>
      </c>
      <c r="K244">
        <v>15530</v>
      </c>
      <c r="L244">
        <v>16080</v>
      </c>
      <c r="M244">
        <v>3.54</v>
      </c>
      <c r="N244">
        <v>-0.86</v>
      </c>
      <c r="O244">
        <v>8.48</v>
      </c>
      <c r="P244">
        <v>-3.43</v>
      </c>
      <c r="Q244">
        <v>5.05</v>
      </c>
      <c r="R244">
        <v>7.71</v>
      </c>
      <c r="S244">
        <v>-0.56999999999999995</v>
      </c>
      <c r="T244">
        <v>1.64</v>
      </c>
      <c r="U244">
        <v>1.99</v>
      </c>
      <c r="V244">
        <v>2.84</v>
      </c>
      <c r="W244">
        <v>3.4</v>
      </c>
      <c r="X244">
        <v>2.73</v>
      </c>
      <c r="Y244">
        <v>2.0299999999999998</v>
      </c>
      <c r="Z244">
        <v>0.52</v>
      </c>
      <c r="AA244">
        <v>4.26</v>
      </c>
      <c r="AB244">
        <v>1.21</v>
      </c>
      <c r="AC244">
        <v>1.49</v>
      </c>
      <c r="AD244">
        <v>2.82</v>
      </c>
      <c r="AE244">
        <v>0.28000000000000003</v>
      </c>
      <c r="AF244">
        <v>1.763333333333333</v>
      </c>
      <c r="AG244" t="str">
        <f>HYPERLINK("https://finance.naver.com/item/fchart.naver?code=005250", "녹십자홀딩스 차트보기")</f>
        <v>녹십자홀딩스 차트보기</v>
      </c>
    </row>
    <row r="245" spans="1:33" x14ac:dyDescent="0.3">
      <c r="A245" t="s">
        <v>1007</v>
      </c>
      <c r="B245" t="s">
        <v>55</v>
      </c>
      <c r="C245" t="s">
        <v>1008</v>
      </c>
      <c r="D245">
        <v>7102.71</v>
      </c>
      <c r="E245" t="s">
        <v>1009</v>
      </c>
      <c r="F245">
        <v>18.57</v>
      </c>
      <c r="G245">
        <v>0.31000000238418579</v>
      </c>
      <c r="H245">
        <v>122</v>
      </c>
      <c r="I245">
        <v>6.619999885559082</v>
      </c>
      <c r="J245" t="s">
        <v>1010</v>
      </c>
      <c r="K245">
        <v>2520</v>
      </c>
      <c r="L245">
        <v>2265</v>
      </c>
      <c r="M245">
        <v>-10.119999999999999</v>
      </c>
      <c r="N245">
        <v>0.89</v>
      </c>
      <c r="O245">
        <v>-1.1000000000000001</v>
      </c>
      <c r="P245">
        <v>0.22</v>
      </c>
      <c r="Q245">
        <v>-6.31</v>
      </c>
      <c r="R245">
        <v>3.38</v>
      </c>
      <c r="S245">
        <v>-5.93</v>
      </c>
      <c r="T245">
        <v>0.4</v>
      </c>
      <c r="U245">
        <v>1.06</v>
      </c>
      <c r="V245">
        <v>1.54</v>
      </c>
      <c r="W245">
        <v>3.09</v>
      </c>
      <c r="X245">
        <v>1.25</v>
      </c>
      <c r="Y245">
        <v>2.44</v>
      </c>
      <c r="Z245">
        <v>2.23</v>
      </c>
      <c r="AA245">
        <v>1.04</v>
      </c>
      <c r="AB245">
        <v>0.14000000000000001</v>
      </c>
      <c r="AC245">
        <v>2.04</v>
      </c>
      <c r="AD245">
        <v>2.7</v>
      </c>
      <c r="AE245">
        <v>2.4300000000000002</v>
      </c>
      <c r="AF245">
        <v>1.763333333333333</v>
      </c>
      <c r="AG245" t="str">
        <f>HYPERLINK("https://finance.naver.com/item/fchart.naver?code=140520", "대창스틸 차트보기")</f>
        <v>대창스틸 차트보기</v>
      </c>
    </row>
    <row r="246" spans="1:33" x14ac:dyDescent="0.3">
      <c r="A246" t="s">
        <v>1011</v>
      </c>
      <c r="B246" t="s">
        <v>55</v>
      </c>
      <c r="C246" t="s">
        <v>1012</v>
      </c>
      <c r="D246">
        <v>7081569.8600000003</v>
      </c>
      <c r="E246" t="s">
        <v>1013</v>
      </c>
      <c r="F246">
        <v>0</v>
      </c>
      <c r="G246">
        <v>0.86000001430511475</v>
      </c>
      <c r="H246">
        <v>0</v>
      </c>
      <c r="I246">
        <v>0</v>
      </c>
      <c r="J246" t="s">
        <v>1014</v>
      </c>
      <c r="K246">
        <v>608</v>
      </c>
      <c r="L246">
        <v>563</v>
      </c>
      <c r="M246">
        <v>-7.4</v>
      </c>
      <c r="N246">
        <v>-1.05</v>
      </c>
      <c r="O246">
        <v>-0.67</v>
      </c>
      <c r="P246">
        <v>4.96</v>
      </c>
      <c r="Q246">
        <v>-3.14</v>
      </c>
      <c r="R246">
        <v>-7.12</v>
      </c>
      <c r="S246">
        <v>2.77</v>
      </c>
      <c r="T246">
        <v>2.02</v>
      </c>
      <c r="U246">
        <v>6.7</v>
      </c>
      <c r="V246">
        <v>1.9</v>
      </c>
      <c r="W246">
        <v>2.9</v>
      </c>
      <c r="X246">
        <v>1.52</v>
      </c>
      <c r="Y246">
        <v>1.74</v>
      </c>
      <c r="Z246">
        <v>0.52</v>
      </c>
      <c r="AA246">
        <v>0.1</v>
      </c>
      <c r="AB246">
        <v>2.61</v>
      </c>
      <c r="AC246">
        <v>1.08</v>
      </c>
      <c r="AD246">
        <v>4.68</v>
      </c>
      <c r="AE246">
        <v>1.59</v>
      </c>
      <c r="AF246">
        <v>1.763333333333333</v>
      </c>
      <c r="AG246" t="str">
        <f>HYPERLINK("https://finance.naver.com/item/fchart.naver?code=084180", "수성웹툰 차트보기")</f>
        <v>수성웹툰 차트보기</v>
      </c>
    </row>
    <row r="247" spans="1:33" x14ac:dyDescent="0.3">
      <c r="A247" t="s">
        <v>1015</v>
      </c>
      <c r="B247" t="s">
        <v>55</v>
      </c>
      <c r="C247" t="s">
        <v>1016</v>
      </c>
      <c r="D247">
        <v>4363.8599999999997</v>
      </c>
      <c r="E247" t="s">
        <v>1017</v>
      </c>
      <c r="F247">
        <v>0</v>
      </c>
      <c r="G247">
        <v>0</v>
      </c>
      <c r="H247">
        <v>0</v>
      </c>
      <c r="I247">
        <v>0</v>
      </c>
      <c r="J247" t="s">
        <v>1018</v>
      </c>
      <c r="K247">
        <v>2190</v>
      </c>
      <c r="L247">
        <v>2120</v>
      </c>
      <c r="M247">
        <v>-3.2</v>
      </c>
      <c r="N247">
        <v>-0.93</v>
      </c>
      <c r="O247">
        <v>0</v>
      </c>
      <c r="P247">
        <v>-0.7</v>
      </c>
      <c r="Q247">
        <v>-2.73</v>
      </c>
      <c r="R247">
        <v>0.23</v>
      </c>
      <c r="S247">
        <v>0.69</v>
      </c>
      <c r="T247">
        <v>0.44</v>
      </c>
      <c r="U247">
        <v>0.69</v>
      </c>
      <c r="V247">
        <v>0.26</v>
      </c>
      <c r="W247">
        <v>0.74</v>
      </c>
      <c r="X247">
        <v>0.51</v>
      </c>
      <c r="Y247">
        <v>0.42</v>
      </c>
      <c r="Z247">
        <v>2.11</v>
      </c>
      <c r="AA247">
        <v>0</v>
      </c>
      <c r="AB247">
        <v>2.69</v>
      </c>
      <c r="AC247">
        <v>3.69</v>
      </c>
      <c r="AD247">
        <v>0.45</v>
      </c>
      <c r="AE247">
        <v>1.64</v>
      </c>
      <c r="AF247">
        <v>1.763333333333333</v>
      </c>
      <c r="AG247" t="str">
        <f>HYPERLINK("https://finance.naver.com/item/fchart.naver?code=446750", "하나26호스팩 차트보기")</f>
        <v>하나26호스팩 차트보기</v>
      </c>
    </row>
    <row r="248" spans="1:33" x14ac:dyDescent="0.3">
      <c r="A248" t="s">
        <v>1019</v>
      </c>
      <c r="B248" t="s">
        <v>55</v>
      </c>
      <c r="C248" t="s">
        <v>1020</v>
      </c>
      <c r="D248">
        <v>958034.76</v>
      </c>
      <c r="E248" t="s">
        <v>1021</v>
      </c>
      <c r="F248">
        <v>1270</v>
      </c>
      <c r="G248">
        <v>0.74000000953674316</v>
      </c>
      <c r="H248">
        <v>2</v>
      </c>
      <c r="I248">
        <v>0</v>
      </c>
      <c r="J248" t="s">
        <v>1022</v>
      </c>
      <c r="K248">
        <v>3785</v>
      </c>
      <c r="L248">
        <v>2540</v>
      </c>
      <c r="M248">
        <v>-32.89</v>
      </c>
      <c r="N248">
        <v>-0.59</v>
      </c>
      <c r="O248">
        <v>-13.69</v>
      </c>
      <c r="P248">
        <v>4.95</v>
      </c>
      <c r="Q248">
        <v>9.18</v>
      </c>
      <c r="R248">
        <v>-17.64</v>
      </c>
      <c r="S248">
        <v>-4.63</v>
      </c>
      <c r="T248">
        <v>3.93</v>
      </c>
      <c r="U248">
        <v>2.79</v>
      </c>
      <c r="V248">
        <v>5.62</v>
      </c>
      <c r="W248">
        <v>9.3800000000000008</v>
      </c>
      <c r="X248">
        <v>6.63</v>
      </c>
      <c r="Y248">
        <v>4.6500000000000004</v>
      </c>
      <c r="Z248">
        <v>0.15</v>
      </c>
      <c r="AA248">
        <v>4.91</v>
      </c>
      <c r="AB248">
        <v>0.88</v>
      </c>
      <c r="AC248">
        <v>0.98</v>
      </c>
      <c r="AD248">
        <v>2.66</v>
      </c>
      <c r="AE248">
        <v>1</v>
      </c>
      <c r="AF248">
        <v>1.763333333333333</v>
      </c>
      <c r="AG248" t="str">
        <f>HYPERLINK("https://finance.naver.com/item/fchart.naver?code=024840", "KBI메탈 차트보기")</f>
        <v>KBI메탈 차트보기</v>
      </c>
    </row>
    <row r="249" spans="1:33" x14ac:dyDescent="0.3">
      <c r="A249" t="s">
        <v>1023</v>
      </c>
      <c r="B249" t="s">
        <v>55</v>
      </c>
      <c r="C249" t="s">
        <v>1024</v>
      </c>
      <c r="D249">
        <v>649402.71</v>
      </c>
      <c r="E249" t="s">
        <v>1025</v>
      </c>
      <c r="F249">
        <v>0</v>
      </c>
      <c r="G249">
        <v>31.489999771118161</v>
      </c>
      <c r="H249">
        <v>0</v>
      </c>
      <c r="I249">
        <v>0</v>
      </c>
      <c r="J249" t="s">
        <v>1026</v>
      </c>
      <c r="K249">
        <v>10380</v>
      </c>
      <c r="L249">
        <v>15810</v>
      </c>
      <c r="M249">
        <v>52.31</v>
      </c>
      <c r="N249">
        <v>-0.56999999999999995</v>
      </c>
      <c r="O249">
        <v>-15.42</v>
      </c>
      <c r="P249">
        <v>33.270000000000003</v>
      </c>
      <c r="Q249">
        <v>1.97</v>
      </c>
      <c r="R249">
        <v>10.8</v>
      </c>
      <c r="S249">
        <v>6.15</v>
      </c>
      <c r="T249">
        <v>4.82</v>
      </c>
      <c r="U249">
        <v>3.8</v>
      </c>
      <c r="V249">
        <v>8.6300000000000008</v>
      </c>
      <c r="W249">
        <v>4.6399999999999997</v>
      </c>
      <c r="X249">
        <v>8.9</v>
      </c>
      <c r="Y249">
        <v>6.65</v>
      </c>
      <c r="Z249">
        <v>0.12</v>
      </c>
      <c r="AA249">
        <v>4.0599999999999996</v>
      </c>
      <c r="AB249">
        <v>3.86</v>
      </c>
      <c r="AC249">
        <v>0.42</v>
      </c>
      <c r="AD249">
        <v>1.21</v>
      </c>
      <c r="AE249">
        <v>0.92</v>
      </c>
      <c r="AF249">
        <v>1.7649999999999999</v>
      </c>
      <c r="AG249" t="str">
        <f>HYPERLINK("https://finance.naver.com/item/fchart.naver?code=389470", "인벤티지랩 차트보기")</f>
        <v>인벤티지랩 차트보기</v>
      </c>
    </row>
    <row r="250" spans="1:33" x14ac:dyDescent="0.3">
      <c r="A250" t="s">
        <v>1027</v>
      </c>
      <c r="B250" t="s">
        <v>55</v>
      </c>
      <c r="C250" t="s">
        <v>1028</v>
      </c>
      <c r="D250">
        <v>1875696.67</v>
      </c>
      <c r="E250" t="s">
        <v>1029</v>
      </c>
      <c r="F250">
        <v>4.8099999999999996</v>
      </c>
      <c r="G250">
        <v>0.68000000715255737</v>
      </c>
      <c r="H250">
        <v>1175</v>
      </c>
      <c r="I250">
        <v>2.6500000953674321</v>
      </c>
      <c r="J250" t="s">
        <v>1030</v>
      </c>
      <c r="K250">
        <v>5420</v>
      </c>
      <c r="L250">
        <v>5650</v>
      </c>
      <c r="M250">
        <v>4.24</v>
      </c>
      <c r="N250">
        <v>3.67</v>
      </c>
      <c r="O250">
        <v>11.43</v>
      </c>
      <c r="P250">
        <v>-2.75</v>
      </c>
      <c r="Q250">
        <v>1.78</v>
      </c>
      <c r="R250">
        <v>0.73</v>
      </c>
      <c r="S250">
        <v>8.24</v>
      </c>
      <c r="T250">
        <v>3.44</v>
      </c>
      <c r="U250">
        <v>3.26</v>
      </c>
      <c r="V250">
        <v>1.96</v>
      </c>
      <c r="W250">
        <v>8.09</v>
      </c>
      <c r="X250">
        <v>1.62</v>
      </c>
      <c r="Y250">
        <v>2.09</v>
      </c>
      <c r="Z250">
        <v>1.07</v>
      </c>
      <c r="AA250">
        <v>3.51</v>
      </c>
      <c r="AB250">
        <v>1.4</v>
      </c>
      <c r="AC250">
        <v>0.22</v>
      </c>
      <c r="AD250">
        <v>0.45</v>
      </c>
      <c r="AE250">
        <v>3.94</v>
      </c>
      <c r="AF250">
        <v>1.7649999999999999</v>
      </c>
      <c r="AG250" t="str">
        <f>HYPERLINK("https://finance.naver.com/item/fchart.naver?code=007370", "진양제약 차트보기")</f>
        <v>진양제약 차트보기</v>
      </c>
    </row>
    <row r="251" spans="1:33" x14ac:dyDescent="0.3">
      <c r="A251" t="s">
        <v>1031</v>
      </c>
      <c r="B251" t="s">
        <v>55</v>
      </c>
      <c r="C251" t="s">
        <v>1032</v>
      </c>
      <c r="D251">
        <v>106521.76</v>
      </c>
      <c r="E251" t="s">
        <v>1033</v>
      </c>
      <c r="F251">
        <v>47.11</v>
      </c>
      <c r="G251">
        <v>3.619999885559082</v>
      </c>
      <c r="H251">
        <v>194</v>
      </c>
      <c r="I251">
        <v>0</v>
      </c>
      <c r="J251" t="s">
        <v>1034</v>
      </c>
      <c r="K251">
        <v>10310</v>
      </c>
      <c r="L251">
        <v>9140</v>
      </c>
      <c r="M251">
        <v>-11.35</v>
      </c>
      <c r="N251">
        <v>-6.06</v>
      </c>
      <c r="O251">
        <v>-1.47</v>
      </c>
      <c r="P251">
        <v>10.18</v>
      </c>
      <c r="Q251">
        <v>-8.1999999999999993</v>
      </c>
      <c r="R251">
        <v>-3.14</v>
      </c>
      <c r="S251">
        <v>-5.61</v>
      </c>
      <c r="T251">
        <v>2.71</v>
      </c>
      <c r="U251">
        <v>2.63</v>
      </c>
      <c r="V251">
        <v>5.0999999999999996</v>
      </c>
      <c r="W251">
        <v>5.15</v>
      </c>
      <c r="X251">
        <v>2.4700000000000002</v>
      </c>
      <c r="Y251">
        <v>1.91</v>
      </c>
      <c r="Z251">
        <v>2.2400000000000002</v>
      </c>
      <c r="AA251">
        <v>0.56000000000000005</v>
      </c>
      <c r="AB251">
        <v>2</v>
      </c>
      <c r="AC251">
        <v>1.59</v>
      </c>
      <c r="AD251">
        <v>1.27</v>
      </c>
      <c r="AE251">
        <v>2.94</v>
      </c>
      <c r="AF251">
        <v>1.7666666666666671</v>
      </c>
      <c r="AG251" t="str">
        <f>HYPERLINK("https://finance.naver.com/item/fchart.naver?code=101730", "위메이드맥스 차트보기")</f>
        <v>위메이드맥스 차트보기</v>
      </c>
    </row>
    <row r="252" spans="1:33" x14ac:dyDescent="0.3">
      <c r="A252" t="s">
        <v>1035</v>
      </c>
      <c r="B252" t="s">
        <v>34</v>
      </c>
      <c r="C252" t="s">
        <v>1036</v>
      </c>
      <c r="D252">
        <v>26612.48</v>
      </c>
      <c r="E252" t="s">
        <v>1037</v>
      </c>
      <c r="F252">
        <v>4.1500000000000004</v>
      </c>
      <c r="G252">
        <v>0.27000001072883612</v>
      </c>
      <c r="H252">
        <v>1391</v>
      </c>
      <c r="I252">
        <v>1.7300000190734861</v>
      </c>
      <c r="J252" t="s">
        <v>1038</v>
      </c>
      <c r="K252">
        <v>6220</v>
      </c>
      <c r="L252">
        <v>5770</v>
      </c>
      <c r="M252">
        <v>-7.23</v>
      </c>
      <c r="N252">
        <v>-2.37</v>
      </c>
      <c r="O252">
        <v>-1.1599999999999999</v>
      </c>
      <c r="P252">
        <v>3.6</v>
      </c>
      <c r="Q252">
        <v>-9.98</v>
      </c>
      <c r="R252">
        <v>-1.63</v>
      </c>
      <c r="S252">
        <v>7.87</v>
      </c>
      <c r="T252">
        <v>1.2</v>
      </c>
      <c r="U252">
        <v>1.27</v>
      </c>
      <c r="V252">
        <v>1.48</v>
      </c>
      <c r="W252">
        <v>2.87</v>
      </c>
      <c r="X252">
        <v>1.82</v>
      </c>
      <c r="Y252">
        <v>8.43</v>
      </c>
      <c r="Z252">
        <v>1.98</v>
      </c>
      <c r="AA252">
        <v>0.91</v>
      </c>
      <c r="AB252">
        <v>2.4300000000000002</v>
      </c>
      <c r="AC252">
        <v>3.48</v>
      </c>
      <c r="AD252">
        <v>0.9</v>
      </c>
      <c r="AE252">
        <v>0.93</v>
      </c>
      <c r="AF252">
        <v>1.7716666666666669</v>
      </c>
      <c r="AG252" t="str">
        <f>HYPERLINK("https://finance.naver.com/item/fchart.naver?code=005740", "크라운해태홀딩스 차트보기")</f>
        <v>크라운해태홀딩스 차트보기</v>
      </c>
    </row>
    <row r="253" spans="1:33" x14ac:dyDescent="0.3">
      <c r="A253" t="s">
        <v>1039</v>
      </c>
      <c r="B253" t="s">
        <v>34</v>
      </c>
      <c r="C253" t="s">
        <v>1040</v>
      </c>
      <c r="D253">
        <v>1071.1400000000001</v>
      </c>
      <c r="E253" t="s">
        <v>1041</v>
      </c>
      <c r="F253">
        <v>0</v>
      </c>
      <c r="G253">
        <v>0</v>
      </c>
      <c r="H253">
        <v>0</v>
      </c>
      <c r="I253">
        <v>2.5199999809265141</v>
      </c>
      <c r="J253" t="s">
        <v>1042</v>
      </c>
      <c r="K253">
        <v>10590</v>
      </c>
      <c r="L253">
        <v>10000</v>
      </c>
      <c r="M253">
        <v>-5.57</v>
      </c>
      <c r="N253">
        <v>-0.7</v>
      </c>
      <c r="O253">
        <v>-1.57</v>
      </c>
      <c r="P253">
        <v>1.89</v>
      </c>
      <c r="Q253">
        <v>-5.7</v>
      </c>
      <c r="R253">
        <v>-0.85</v>
      </c>
      <c r="S253">
        <v>-1.86</v>
      </c>
      <c r="T253">
        <v>0.44</v>
      </c>
      <c r="U253">
        <v>0.75</v>
      </c>
      <c r="V253">
        <v>0.75</v>
      </c>
      <c r="W253">
        <v>1.79</v>
      </c>
      <c r="X253">
        <v>0.86</v>
      </c>
      <c r="Y253">
        <v>6.66</v>
      </c>
      <c r="Z253">
        <v>1.59</v>
      </c>
      <c r="AA253">
        <v>2.09</v>
      </c>
      <c r="AB253">
        <v>2.52</v>
      </c>
      <c r="AC253">
        <v>3.18</v>
      </c>
      <c r="AD253">
        <v>0.99</v>
      </c>
      <c r="AE253">
        <v>0.28000000000000003</v>
      </c>
      <c r="AF253">
        <v>1.7749999999999999</v>
      </c>
      <c r="AG253" t="str">
        <f>HYPERLINK("https://finance.naver.com/item/fchart.naver?code=26490K", "크라운제과우 차트보기")</f>
        <v>크라운제과우 차트보기</v>
      </c>
    </row>
    <row r="254" spans="1:33" x14ac:dyDescent="0.3">
      <c r="A254" t="s">
        <v>1043</v>
      </c>
      <c r="B254" t="s">
        <v>55</v>
      </c>
      <c r="C254" t="s">
        <v>1044</v>
      </c>
      <c r="D254">
        <v>838145.38</v>
      </c>
      <c r="E254" t="s">
        <v>1045</v>
      </c>
      <c r="F254">
        <v>44.24</v>
      </c>
      <c r="G254">
        <v>1.4900000095367429</v>
      </c>
      <c r="H254">
        <v>46</v>
      </c>
      <c r="I254">
        <v>0</v>
      </c>
      <c r="J254" t="s">
        <v>1046</v>
      </c>
      <c r="K254">
        <v>2120</v>
      </c>
      <c r="L254">
        <v>2035</v>
      </c>
      <c r="M254">
        <v>-4.01</v>
      </c>
      <c r="N254">
        <v>-2.4</v>
      </c>
      <c r="O254">
        <v>-1.41</v>
      </c>
      <c r="P254">
        <v>-3.33</v>
      </c>
      <c r="Q254">
        <v>-1.5</v>
      </c>
      <c r="R254">
        <v>7.89</v>
      </c>
      <c r="S254">
        <v>2.89</v>
      </c>
      <c r="T254">
        <v>1.49</v>
      </c>
      <c r="U254">
        <v>1.61</v>
      </c>
      <c r="V254">
        <v>1.76</v>
      </c>
      <c r="W254">
        <v>3.75</v>
      </c>
      <c r="X254">
        <v>1.92</v>
      </c>
      <c r="Y254">
        <v>1.64</v>
      </c>
      <c r="Z254">
        <v>1.61</v>
      </c>
      <c r="AA254">
        <v>0.88</v>
      </c>
      <c r="AB254">
        <v>1.89</v>
      </c>
      <c r="AC254">
        <v>0.4</v>
      </c>
      <c r="AD254">
        <v>4.1100000000000003</v>
      </c>
      <c r="AE254">
        <v>1.76</v>
      </c>
      <c r="AF254">
        <v>1.7749999999999999</v>
      </c>
      <c r="AG254" t="str">
        <f>HYPERLINK("https://finance.naver.com/item/fchart.naver?code=058820", "CMG제약 차트보기")</f>
        <v>CMG제약 차트보기</v>
      </c>
    </row>
    <row r="255" spans="1:33" x14ac:dyDescent="0.3">
      <c r="A255" t="s">
        <v>1047</v>
      </c>
      <c r="B255" t="s">
        <v>55</v>
      </c>
      <c r="C255" t="s">
        <v>1048</v>
      </c>
      <c r="D255">
        <v>52111.29</v>
      </c>
      <c r="E255" t="s">
        <v>1049</v>
      </c>
      <c r="F255">
        <v>0</v>
      </c>
      <c r="G255">
        <v>1.8999999761581421</v>
      </c>
      <c r="H255">
        <v>0</v>
      </c>
      <c r="I255">
        <v>0</v>
      </c>
      <c r="J255" t="s">
        <v>1050</v>
      </c>
      <c r="K255">
        <v>1390</v>
      </c>
      <c r="L255">
        <v>900</v>
      </c>
      <c r="M255">
        <v>-35.25</v>
      </c>
      <c r="N255">
        <v>0.11</v>
      </c>
      <c r="O255">
        <v>-0.76</v>
      </c>
      <c r="P255">
        <v>-10.06</v>
      </c>
      <c r="Q255">
        <v>-15.16</v>
      </c>
      <c r="R255">
        <v>-6</v>
      </c>
      <c r="S255">
        <v>-0.56999999999999995</v>
      </c>
      <c r="T255">
        <v>0.78</v>
      </c>
      <c r="U255">
        <v>1.23</v>
      </c>
      <c r="V255">
        <v>5.72</v>
      </c>
      <c r="W255">
        <v>3.55</v>
      </c>
      <c r="X255">
        <v>1.65</v>
      </c>
      <c r="Y255">
        <v>2.57</v>
      </c>
      <c r="Z255">
        <v>0.14000000000000001</v>
      </c>
      <c r="AA255">
        <v>0.62</v>
      </c>
      <c r="AB255">
        <v>1.76</v>
      </c>
      <c r="AC255">
        <v>4.2699999999999996</v>
      </c>
      <c r="AD255">
        <v>3.64</v>
      </c>
      <c r="AE255">
        <v>0.22</v>
      </c>
      <c r="AF255">
        <v>1.7749999999999999</v>
      </c>
      <c r="AG255" t="str">
        <f>HYPERLINK("https://finance.naver.com/item/fchart.naver?code=258790", "소프트캠프 차트보기")</f>
        <v>소프트캠프 차트보기</v>
      </c>
    </row>
    <row r="256" spans="1:33" x14ac:dyDescent="0.3">
      <c r="A256" t="s">
        <v>1051</v>
      </c>
      <c r="B256" t="s">
        <v>55</v>
      </c>
      <c r="C256" t="s">
        <v>1052</v>
      </c>
      <c r="D256">
        <v>250713.71</v>
      </c>
      <c r="E256" t="s">
        <v>1053</v>
      </c>
      <c r="F256">
        <v>3.92</v>
      </c>
      <c r="G256">
        <v>0.68000000715255737</v>
      </c>
      <c r="H256">
        <v>364</v>
      </c>
      <c r="I256">
        <v>0</v>
      </c>
      <c r="J256" t="s">
        <v>1054</v>
      </c>
      <c r="K256">
        <v>2245</v>
      </c>
      <c r="L256">
        <v>1426</v>
      </c>
      <c r="M256">
        <v>-36.479999999999997</v>
      </c>
      <c r="N256">
        <v>-3.97</v>
      </c>
      <c r="O256">
        <v>-3.86</v>
      </c>
      <c r="P256">
        <v>0.63</v>
      </c>
      <c r="Q256">
        <v>-1.9</v>
      </c>
      <c r="R256">
        <v>-4.51</v>
      </c>
      <c r="S256">
        <v>-6.5</v>
      </c>
      <c r="T256">
        <v>1.98</v>
      </c>
      <c r="U256">
        <v>1.63</v>
      </c>
      <c r="V256">
        <v>2.5299999999999998</v>
      </c>
      <c r="W256">
        <v>4.53</v>
      </c>
      <c r="X256">
        <v>1.61</v>
      </c>
      <c r="Y256">
        <v>2.31</v>
      </c>
      <c r="Z256">
        <v>2.0099999999999998</v>
      </c>
      <c r="AA256">
        <v>2.37</v>
      </c>
      <c r="AB256">
        <v>0.25</v>
      </c>
      <c r="AC256">
        <v>0.42</v>
      </c>
      <c r="AD256">
        <v>2.8</v>
      </c>
      <c r="AE256">
        <v>2.81</v>
      </c>
      <c r="AF256">
        <v>1.7766666666666671</v>
      </c>
      <c r="AG256" t="str">
        <f>HYPERLINK("https://finance.naver.com/item/fchart.naver?code=043260", "성호전자 차트보기")</f>
        <v>성호전자 차트보기</v>
      </c>
    </row>
    <row r="257" spans="1:33" x14ac:dyDescent="0.3">
      <c r="A257" t="s">
        <v>1055</v>
      </c>
      <c r="B257" t="s">
        <v>34</v>
      </c>
      <c r="C257" t="s">
        <v>1056</v>
      </c>
      <c r="D257">
        <v>127812.9</v>
      </c>
      <c r="E257" t="s">
        <v>1057</v>
      </c>
      <c r="F257">
        <v>29.42</v>
      </c>
      <c r="G257">
        <v>4.5</v>
      </c>
      <c r="H257">
        <v>11522</v>
      </c>
      <c r="I257">
        <v>0.15000000596046451</v>
      </c>
      <c r="J257" t="s">
        <v>1058</v>
      </c>
      <c r="K257">
        <v>322000</v>
      </c>
      <c r="L257">
        <v>339000</v>
      </c>
      <c r="M257">
        <v>5.28</v>
      </c>
      <c r="N257">
        <v>10.6</v>
      </c>
      <c r="O257">
        <v>1.42</v>
      </c>
      <c r="P257">
        <v>4.05</v>
      </c>
      <c r="Q257">
        <v>6.95</v>
      </c>
      <c r="R257">
        <v>1.23</v>
      </c>
      <c r="S257">
        <v>-6.24</v>
      </c>
      <c r="T257">
        <v>5.52</v>
      </c>
      <c r="U257">
        <v>3.16</v>
      </c>
      <c r="V257">
        <v>3.63</v>
      </c>
      <c r="W257">
        <v>2.73</v>
      </c>
      <c r="X257">
        <v>2.4900000000000002</v>
      </c>
      <c r="Y257">
        <v>1.51</v>
      </c>
      <c r="Z257">
        <v>1.92</v>
      </c>
      <c r="AA257">
        <v>0.45</v>
      </c>
      <c r="AB257">
        <v>1.1200000000000001</v>
      </c>
      <c r="AC257">
        <v>2.5499999999999998</v>
      </c>
      <c r="AD257">
        <v>0.49</v>
      </c>
      <c r="AE257">
        <v>4.13</v>
      </c>
      <c r="AF257">
        <v>1.7766666666666671</v>
      </c>
      <c r="AG257" t="str">
        <f>HYPERLINK("https://finance.naver.com/item/fchart.naver?code=128940", "한미약품 차트보기")</f>
        <v>한미약품 차트보기</v>
      </c>
    </row>
    <row r="258" spans="1:33" x14ac:dyDescent="0.3">
      <c r="A258" t="s">
        <v>1059</v>
      </c>
      <c r="B258" t="s">
        <v>55</v>
      </c>
      <c r="C258" t="s">
        <v>1060</v>
      </c>
      <c r="D258">
        <v>136891.32999999999</v>
      </c>
      <c r="E258" t="s">
        <v>1061</v>
      </c>
      <c r="F258">
        <v>21.63</v>
      </c>
      <c r="G258">
        <v>0.64999997615814209</v>
      </c>
      <c r="H258">
        <v>19</v>
      </c>
      <c r="I258">
        <v>0</v>
      </c>
      <c r="J258" t="s">
        <v>1062</v>
      </c>
      <c r="K258">
        <v>549</v>
      </c>
      <c r="L258">
        <v>411</v>
      </c>
      <c r="M258">
        <v>-25.14</v>
      </c>
      <c r="N258">
        <v>-1.91</v>
      </c>
      <c r="O258">
        <v>-10.85</v>
      </c>
      <c r="P258">
        <v>0</v>
      </c>
      <c r="Q258">
        <v>1.08</v>
      </c>
      <c r="R258">
        <v>-5.36</v>
      </c>
      <c r="S258">
        <v>-1.59</v>
      </c>
      <c r="T258">
        <v>2.11</v>
      </c>
      <c r="U258">
        <v>1.97</v>
      </c>
      <c r="V258">
        <v>2.14</v>
      </c>
      <c r="W258">
        <v>2.73</v>
      </c>
      <c r="X258">
        <v>1.69</v>
      </c>
      <c r="Y258">
        <v>2.31</v>
      </c>
      <c r="Z258">
        <v>0.91</v>
      </c>
      <c r="AA258">
        <v>5.51</v>
      </c>
      <c r="AB258">
        <v>0</v>
      </c>
      <c r="AC258">
        <v>0.4</v>
      </c>
      <c r="AD258">
        <v>3.17</v>
      </c>
      <c r="AE258">
        <v>0.69</v>
      </c>
      <c r="AF258">
        <v>1.78</v>
      </c>
      <c r="AG258" t="str">
        <f>HYPERLINK("https://finance.naver.com/item/fchart.naver?code=101400", "엔시트론 차트보기")</f>
        <v>엔시트론 차트보기</v>
      </c>
    </row>
    <row r="259" spans="1:33" x14ac:dyDescent="0.3">
      <c r="A259" t="s">
        <v>1063</v>
      </c>
      <c r="B259" t="s">
        <v>34</v>
      </c>
      <c r="C259" t="s">
        <v>1064</v>
      </c>
      <c r="D259">
        <v>21730</v>
      </c>
      <c r="E259" t="s">
        <v>1065</v>
      </c>
      <c r="F259">
        <v>22.43</v>
      </c>
      <c r="G259">
        <v>0.68000000715255737</v>
      </c>
      <c r="H259">
        <v>58</v>
      </c>
      <c r="I259">
        <v>1.5399999618530269</v>
      </c>
      <c r="J259" t="s">
        <v>1066</v>
      </c>
      <c r="K259">
        <v>1527</v>
      </c>
      <c r="L259">
        <v>1301</v>
      </c>
      <c r="M259">
        <v>-14.8</v>
      </c>
      <c r="N259">
        <v>-0.46</v>
      </c>
      <c r="O259">
        <v>-1.65</v>
      </c>
      <c r="P259">
        <v>-4.59</v>
      </c>
      <c r="Q259">
        <v>-4.28</v>
      </c>
      <c r="R259">
        <v>0.84</v>
      </c>
      <c r="S259">
        <v>-2.72</v>
      </c>
      <c r="T259">
        <v>0.9</v>
      </c>
      <c r="U259">
        <v>0.96</v>
      </c>
      <c r="V259">
        <v>1.45</v>
      </c>
      <c r="W259">
        <v>1.55</v>
      </c>
      <c r="X259">
        <v>1.72</v>
      </c>
      <c r="Y259">
        <v>1.34</v>
      </c>
      <c r="Z259">
        <v>0.51</v>
      </c>
      <c r="AA259">
        <v>1.72</v>
      </c>
      <c r="AB259">
        <v>3.17</v>
      </c>
      <c r="AC259">
        <v>2.76</v>
      </c>
      <c r="AD259">
        <v>0.49</v>
      </c>
      <c r="AE259">
        <v>2.0299999999999998</v>
      </c>
      <c r="AF259">
        <v>1.78</v>
      </c>
      <c r="AG259" t="str">
        <f>HYPERLINK("https://finance.naver.com/item/fchart.naver?code=013700", "까뮤이앤씨 차트보기")</f>
        <v>까뮤이앤씨 차트보기</v>
      </c>
    </row>
    <row r="260" spans="1:33" x14ac:dyDescent="0.3">
      <c r="A260" t="s">
        <v>1067</v>
      </c>
      <c r="B260" t="s">
        <v>55</v>
      </c>
      <c r="C260" t="s">
        <v>1068</v>
      </c>
      <c r="D260">
        <v>30154.48</v>
      </c>
      <c r="E260" t="s">
        <v>1069</v>
      </c>
      <c r="F260">
        <v>41.88</v>
      </c>
      <c r="G260">
        <v>1.629999995231628</v>
      </c>
      <c r="H260">
        <v>218</v>
      </c>
      <c r="I260">
        <v>0.43999999761581421</v>
      </c>
      <c r="J260" t="s">
        <v>1070</v>
      </c>
      <c r="K260">
        <v>8460</v>
      </c>
      <c r="L260">
        <v>9130</v>
      </c>
      <c r="M260">
        <v>7.92</v>
      </c>
      <c r="N260">
        <v>0.11</v>
      </c>
      <c r="O260">
        <v>-13.45</v>
      </c>
      <c r="P260">
        <v>-0.09</v>
      </c>
      <c r="Q260">
        <v>9.58</v>
      </c>
      <c r="R260">
        <v>3.26</v>
      </c>
      <c r="S260">
        <v>20.72</v>
      </c>
      <c r="T260">
        <v>2.44</v>
      </c>
      <c r="U260">
        <v>2.5499999999999998</v>
      </c>
      <c r="V260">
        <v>4.25</v>
      </c>
      <c r="W260">
        <v>5.83</v>
      </c>
      <c r="X260">
        <v>4.0999999999999996</v>
      </c>
      <c r="Y260">
        <v>7.12</v>
      </c>
      <c r="Z260">
        <v>0.05</v>
      </c>
      <c r="AA260">
        <v>5.27</v>
      </c>
      <c r="AB260">
        <v>0.02</v>
      </c>
      <c r="AC260">
        <v>1.64</v>
      </c>
      <c r="AD260">
        <v>0.8</v>
      </c>
      <c r="AE260">
        <v>2.91</v>
      </c>
      <c r="AF260">
        <v>1.7816666666666661</v>
      </c>
      <c r="AG260" t="str">
        <f>HYPERLINK("https://finance.naver.com/item/fchart.naver?code=333620", "엔시스 차트보기")</f>
        <v>엔시스 차트보기</v>
      </c>
    </row>
    <row r="261" spans="1:33" x14ac:dyDescent="0.3">
      <c r="A261" t="s">
        <v>1071</v>
      </c>
      <c r="B261" t="s">
        <v>34</v>
      </c>
      <c r="C261" t="s">
        <v>1072</v>
      </c>
      <c r="D261">
        <v>19173.71</v>
      </c>
      <c r="E261" t="s">
        <v>1073</v>
      </c>
      <c r="F261">
        <v>8.0399999999999991</v>
      </c>
      <c r="G261">
        <v>0.38999998569488531</v>
      </c>
      <c r="H261">
        <v>789</v>
      </c>
      <c r="I261">
        <v>6.309999942779541</v>
      </c>
      <c r="J261" t="s">
        <v>1074</v>
      </c>
      <c r="K261">
        <v>6590</v>
      </c>
      <c r="L261">
        <v>6340</v>
      </c>
      <c r="M261">
        <v>-3.79</v>
      </c>
      <c r="N261">
        <v>-0.94</v>
      </c>
      <c r="O261">
        <v>-0.93</v>
      </c>
      <c r="P261">
        <v>-2.86</v>
      </c>
      <c r="Q261">
        <v>-2.69</v>
      </c>
      <c r="R261">
        <v>-2.06</v>
      </c>
      <c r="S261">
        <v>-1.1499999999999999</v>
      </c>
      <c r="T261">
        <v>0.84</v>
      </c>
      <c r="U261">
        <v>0.45</v>
      </c>
      <c r="V261">
        <v>1</v>
      </c>
      <c r="W261">
        <v>1.29</v>
      </c>
      <c r="X261">
        <v>1.02</v>
      </c>
      <c r="Y261">
        <v>2.19</v>
      </c>
      <c r="Z261">
        <v>1.1200000000000001</v>
      </c>
      <c r="AA261">
        <v>2.0699999999999998</v>
      </c>
      <c r="AB261">
        <v>2.86</v>
      </c>
      <c r="AC261">
        <v>2.09</v>
      </c>
      <c r="AD261">
        <v>2.02</v>
      </c>
      <c r="AE261">
        <v>0.53</v>
      </c>
      <c r="AF261">
        <v>1.781666666666667</v>
      </c>
      <c r="AG261" t="str">
        <f>HYPERLINK("https://finance.naver.com/item/fchart.naver?code=000970", "한국주철관 차트보기")</f>
        <v>한국주철관 차트보기</v>
      </c>
    </row>
    <row r="262" spans="1:33" x14ac:dyDescent="0.3">
      <c r="A262" t="s">
        <v>1075</v>
      </c>
      <c r="B262" t="s">
        <v>55</v>
      </c>
      <c r="C262" t="s">
        <v>1076</v>
      </c>
      <c r="D262">
        <v>7567.67</v>
      </c>
      <c r="E262" t="s">
        <v>1077</v>
      </c>
      <c r="F262">
        <v>8.4700000000000006</v>
      </c>
      <c r="G262">
        <v>0.43000000715255737</v>
      </c>
      <c r="H262">
        <v>620</v>
      </c>
      <c r="I262">
        <v>14.670000076293951</v>
      </c>
      <c r="J262" t="s">
        <v>1078</v>
      </c>
      <c r="K262">
        <v>5570</v>
      </c>
      <c r="L262">
        <v>5250</v>
      </c>
      <c r="M262">
        <v>-5.75</v>
      </c>
      <c r="N262">
        <v>-1.1299999999999999</v>
      </c>
      <c r="O262">
        <v>0.95</v>
      </c>
      <c r="P262">
        <v>-0.76</v>
      </c>
      <c r="Q262">
        <v>-6.43</v>
      </c>
      <c r="R262">
        <v>-3.48</v>
      </c>
      <c r="S262">
        <v>-1.88</v>
      </c>
      <c r="T262">
        <v>0.65</v>
      </c>
      <c r="U262">
        <v>1.01</v>
      </c>
      <c r="V262">
        <v>1.0900000000000001</v>
      </c>
      <c r="W262">
        <v>2.6</v>
      </c>
      <c r="X262">
        <v>1.08</v>
      </c>
      <c r="Y262">
        <v>1.1599999999999999</v>
      </c>
      <c r="Z262">
        <v>1.74</v>
      </c>
      <c r="AA262">
        <v>0.94</v>
      </c>
      <c r="AB262">
        <v>0.7</v>
      </c>
      <c r="AC262">
        <v>2.4700000000000002</v>
      </c>
      <c r="AD262">
        <v>3.22</v>
      </c>
      <c r="AE262">
        <v>1.62</v>
      </c>
      <c r="AF262">
        <v>1.781666666666667</v>
      </c>
      <c r="AG262" t="str">
        <f>HYPERLINK("https://finance.naver.com/item/fchart.naver?code=080010", "이상네트웍스 차트보기")</f>
        <v>이상네트웍스 차트보기</v>
      </c>
    </row>
    <row r="263" spans="1:33" x14ac:dyDescent="0.3">
      <c r="A263" t="s">
        <v>1079</v>
      </c>
      <c r="B263" t="s">
        <v>55</v>
      </c>
      <c r="C263" t="s">
        <v>1080</v>
      </c>
      <c r="D263">
        <v>543848.71</v>
      </c>
      <c r="E263" t="s">
        <v>1081</v>
      </c>
      <c r="F263">
        <v>0</v>
      </c>
      <c r="G263">
        <v>2.5499999523162842</v>
      </c>
      <c r="H263">
        <v>0</v>
      </c>
      <c r="I263">
        <v>0</v>
      </c>
      <c r="J263" t="s">
        <v>1082</v>
      </c>
      <c r="K263">
        <v>2755</v>
      </c>
      <c r="L263">
        <v>2960</v>
      </c>
      <c r="M263">
        <v>7.44</v>
      </c>
      <c r="N263">
        <v>-6.48</v>
      </c>
      <c r="O263">
        <v>-12.3</v>
      </c>
      <c r="P263">
        <v>21.34</v>
      </c>
      <c r="Q263">
        <v>45.34</v>
      </c>
      <c r="R263">
        <v>-0.4</v>
      </c>
      <c r="S263">
        <v>-0.2</v>
      </c>
      <c r="T263">
        <v>3.17</v>
      </c>
      <c r="U263">
        <v>4.4800000000000004</v>
      </c>
      <c r="V263">
        <v>9.3800000000000008</v>
      </c>
      <c r="W263">
        <v>13.72</v>
      </c>
      <c r="X263">
        <v>1.5</v>
      </c>
      <c r="Y263">
        <v>2.7</v>
      </c>
      <c r="Z263">
        <v>2.04</v>
      </c>
      <c r="AA263">
        <v>2.75</v>
      </c>
      <c r="AB263">
        <v>2.2799999999999998</v>
      </c>
      <c r="AC263">
        <v>3.3</v>
      </c>
      <c r="AD263">
        <v>0.27</v>
      </c>
      <c r="AE263">
        <v>7.0000000000000007E-2</v>
      </c>
      <c r="AF263">
        <v>1.7849999999999999</v>
      </c>
      <c r="AG263" t="str">
        <f>HYPERLINK("https://finance.naver.com/item/fchart.naver?code=109820", "진매트릭스 차트보기")</f>
        <v>진매트릭스 차트보기</v>
      </c>
    </row>
    <row r="264" spans="1:33" x14ac:dyDescent="0.3">
      <c r="A264" t="s">
        <v>1083</v>
      </c>
      <c r="B264" t="s">
        <v>55</v>
      </c>
      <c r="C264" t="s">
        <v>1084</v>
      </c>
      <c r="D264">
        <v>970358.86</v>
      </c>
      <c r="E264" t="s">
        <v>1085</v>
      </c>
      <c r="F264">
        <v>0</v>
      </c>
      <c r="G264">
        <v>8.0699996948242188</v>
      </c>
      <c r="H264">
        <v>0</v>
      </c>
      <c r="I264">
        <v>0</v>
      </c>
      <c r="J264" t="s">
        <v>1086</v>
      </c>
      <c r="K264">
        <v>13520</v>
      </c>
      <c r="L264">
        <v>23300</v>
      </c>
      <c r="M264">
        <v>72.34</v>
      </c>
      <c r="N264">
        <v>5.91</v>
      </c>
      <c r="O264">
        <v>-2.2799999999999998</v>
      </c>
      <c r="P264">
        <v>11.11</v>
      </c>
      <c r="Q264">
        <v>16.75</v>
      </c>
      <c r="R264">
        <v>25.93</v>
      </c>
      <c r="S264">
        <v>-0.52</v>
      </c>
      <c r="T264">
        <v>5.63</v>
      </c>
      <c r="U264">
        <v>5.05</v>
      </c>
      <c r="V264">
        <v>5.18</v>
      </c>
      <c r="W264">
        <v>6.12</v>
      </c>
      <c r="X264">
        <v>6.14</v>
      </c>
      <c r="Y264">
        <v>4.3</v>
      </c>
      <c r="Z264">
        <v>1.05</v>
      </c>
      <c r="AA264">
        <v>0.45</v>
      </c>
      <c r="AB264">
        <v>2.14</v>
      </c>
      <c r="AC264">
        <v>2.74</v>
      </c>
      <c r="AD264">
        <v>4.22</v>
      </c>
      <c r="AE264">
        <v>0.12</v>
      </c>
      <c r="AF264">
        <v>1.7866666666666671</v>
      </c>
      <c r="AG264" t="str">
        <f>HYPERLINK("https://finance.naver.com/item/fchart.naver?code=220100", "퓨쳐켐 차트보기")</f>
        <v>퓨쳐켐 차트보기</v>
      </c>
    </row>
    <row r="265" spans="1:33" x14ac:dyDescent="0.3">
      <c r="A265" t="s">
        <v>1087</v>
      </c>
      <c r="B265" t="s">
        <v>34</v>
      </c>
      <c r="C265" t="s">
        <v>1088</v>
      </c>
      <c r="D265">
        <v>64537.19</v>
      </c>
      <c r="E265" t="s">
        <v>1089</v>
      </c>
      <c r="F265">
        <v>6.89</v>
      </c>
      <c r="G265">
        <v>0.33000001311302191</v>
      </c>
      <c r="H265">
        <v>1015</v>
      </c>
      <c r="I265">
        <v>3.8599998950958252</v>
      </c>
      <c r="J265" t="s">
        <v>1090</v>
      </c>
      <c r="K265">
        <v>6950</v>
      </c>
      <c r="L265">
        <v>6990</v>
      </c>
      <c r="M265">
        <v>0.57999999999999996</v>
      </c>
      <c r="N265">
        <v>-2.78</v>
      </c>
      <c r="O265">
        <v>0</v>
      </c>
      <c r="P265">
        <v>0</v>
      </c>
      <c r="Q265">
        <v>-3.43</v>
      </c>
      <c r="R265">
        <v>1.56</v>
      </c>
      <c r="S265">
        <v>1.89</v>
      </c>
      <c r="T265">
        <v>0.71</v>
      </c>
      <c r="U265">
        <v>0.47</v>
      </c>
      <c r="V265">
        <v>0.81</v>
      </c>
      <c r="W265">
        <v>1.61</v>
      </c>
      <c r="X265">
        <v>0.65</v>
      </c>
      <c r="Y265">
        <v>0.83</v>
      </c>
      <c r="Z265">
        <v>3.92</v>
      </c>
      <c r="AA265">
        <v>0</v>
      </c>
      <c r="AB265">
        <v>0</v>
      </c>
      <c r="AC265">
        <v>2.13</v>
      </c>
      <c r="AD265">
        <v>2.4</v>
      </c>
      <c r="AE265">
        <v>2.2799999999999998</v>
      </c>
      <c r="AF265">
        <v>1.7883333333333331</v>
      </c>
      <c r="AG265" t="str">
        <f>HYPERLINK("https://finance.naver.com/item/fchart.naver?code=383800", "LX홀딩스 차트보기")</f>
        <v>LX홀딩스 차트보기</v>
      </c>
    </row>
    <row r="266" spans="1:33" x14ac:dyDescent="0.3">
      <c r="A266" t="s">
        <v>1091</v>
      </c>
      <c r="B266" t="s">
        <v>55</v>
      </c>
      <c r="C266" t="s">
        <v>1092</v>
      </c>
      <c r="D266">
        <v>7564.14</v>
      </c>
      <c r="E266" t="s">
        <v>1093</v>
      </c>
      <c r="F266">
        <v>0</v>
      </c>
      <c r="G266">
        <v>0</v>
      </c>
      <c r="H266">
        <v>0</v>
      </c>
      <c r="I266">
        <v>0</v>
      </c>
      <c r="J266" t="s">
        <v>1094</v>
      </c>
      <c r="K266">
        <v>2165</v>
      </c>
      <c r="L266">
        <v>2105</v>
      </c>
      <c r="M266">
        <v>-2.77</v>
      </c>
      <c r="N266">
        <v>-0.24</v>
      </c>
      <c r="O266">
        <v>-0.94</v>
      </c>
      <c r="P266">
        <v>-1.18</v>
      </c>
      <c r="Q266">
        <v>-1.38</v>
      </c>
      <c r="R266">
        <v>-0.91</v>
      </c>
      <c r="S266">
        <v>1.39</v>
      </c>
      <c r="T266">
        <v>0.35</v>
      </c>
      <c r="U266">
        <v>0.66</v>
      </c>
      <c r="V266">
        <v>0.67</v>
      </c>
      <c r="W266">
        <v>0.51</v>
      </c>
      <c r="X266">
        <v>0.61</v>
      </c>
      <c r="Y266">
        <v>0.52</v>
      </c>
      <c r="Z266">
        <v>0.69</v>
      </c>
      <c r="AA266">
        <v>1.42</v>
      </c>
      <c r="AB266">
        <v>1.76</v>
      </c>
      <c r="AC266">
        <v>2.71</v>
      </c>
      <c r="AD266">
        <v>1.49</v>
      </c>
      <c r="AE266">
        <v>2.67</v>
      </c>
      <c r="AF266">
        <v>1.79</v>
      </c>
      <c r="AG266" t="str">
        <f>HYPERLINK("https://finance.naver.com/item/fchart.naver?code=430700", "유안타제9호스팩 차트보기")</f>
        <v>유안타제9호스팩 차트보기</v>
      </c>
    </row>
    <row r="267" spans="1:33" x14ac:dyDescent="0.3">
      <c r="A267" t="s">
        <v>1095</v>
      </c>
      <c r="B267" t="s">
        <v>34</v>
      </c>
      <c r="C267" t="s">
        <v>1096</v>
      </c>
      <c r="D267">
        <v>622766</v>
      </c>
      <c r="E267" t="s">
        <v>1097</v>
      </c>
      <c r="F267">
        <v>26.89</v>
      </c>
      <c r="G267">
        <v>4.0300002098083496</v>
      </c>
      <c r="H267">
        <v>476</v>
      </c>
      <c r="I267">
        <v>2.3199999332427979</v>
      </c>
      <c r="J267" t="s">
        <v>1098</v>
      </c>
      <c r="K267">
        <v>8000</v>
      </c>
      <c r="L267">
        <v>12800</v>
      </c>
      <c r="M267">
        <v>60</v>
      </c>
      <c r="N267">
        <v>0.79</v>
      </c>
      <c r="O267">
        <v>-0.78</v>
      </c>
      <c r="P267">
        <v>1.3</v>
      </c>
      <c r="Q267">
        <v>-16.559999999999999</v>
      </c>
      <c r="R267">
        <v>37.44</v>
      </c>
      <c r="S267">
        <v>18.97</v>
      </c>
      <c r="T267">
        <v>1.4</v>
      </c>
      <c r="U267">
        <v>2.61</v>
      </c>
      <c r="V267">
        <v>6.09</v>
      </c>
      <c r="W267">
        <v>4.72</v>
      </c>
      <c r="X267">
        <v>9.57</v>
      </c>
      <c r="Y267">
        <v>8.41</v>
      </c>
      <c r="Z267">
        <v>0.56000000000000005</v>
      </c>
      <c r="AA267">
        <v>0.3</v>
      </c>
      <c r="AB267">
        <v>0.21</v>
      </c>
      <c r="AC267">
        <v>3.51</v>
      </c>
      <c r="AD267">
        <v>3.91</v>
      </c>
      <c r="AE267">
        <v>2.2599999999999998</v>
      </c>
      <c r="AF267">
        <v>1.791666666666667</v>
      </c>
      <c r="AG267" t="str">
        <f>HYPERLINK("https://finance.naver.com/item/fchart.naver?code=130660", "한전산업 차트보기")</f>
        <v>한전산업 차트보기</v>
      </c>
    </row>
    <row r="268" spans="1:33" x14ac:dyDescent="0.3">
      <c r="A268" t="s">
        <v>1099</v>
      </c>
      <c r="B268" t="s">
        <v>34</v>
      </c>
      <c r="C268" t="s">
        <v>1100</v>
      </c>
      <c r="D268">
        <v>540.57000000000005</v>
      </c>
      <c r="E268" t="s">
        <v>1101</v>
      </c>
      <c r="F268">
        <v>0</v>
      </c>
      <c r="G268">
        <v>0</v>
      </c>
      <c r="H268">
        <v>0</v>
      </c>
      <c r="I268">
        <v>1.6499999761581421</v>
      </c>
      <c r="J268" t="s">
        <v>1102</v>
      </c>
      <c r="K268">
        <v>10830</v>
      </c>
      <c r="L268">
        <v>9100</v>
      </c>
      <c r="M268">
        <v>-15.97</v>
      </c>
      <c r="N268">
        <v>-1.3</v>
      </c>
      <c r="O268">
        <v>-3.75</v>
      </c>
      <c r="P268">
        <v>0.51</v>
      </c>
      <c r="Q268">
        <v>-11.49</v>
      </c>
      <c r="R268">
        <v>-3.59</v>
      </c>
      <c r="S268">
        <v>-5.0999999999999996</v>
      </c>
      <c r="T268">
        <v>1.05</v>
      </c>
      <c r="U268">
        <v>3.64</v>
      </c>
      <c r="V268">
        <v>3.13</v>
      </c>
      <c r="W268">
        <v>2.0299999999999998</v>
      </c>
      <c r="X268">
        <v>2.0099999999999998</v>
      </c>
      <c r="Y268">
        <v>5.7</v>
      </c>
      <c r="Z268">
        <v>1.24</v>
      </c>
      <c r="AA268">
        <v>1.03</v>
      </c>
      <c r="AB268">
        <v>0.16</v>
      </c>
      <c r="AC268">
        <v>5.66</v>
      </c>
      <c r="AD268">
        <v>1.79</v>
      </c>
      <c r="AE268">
        <v>0.89</v>
      </c>
      <c r="AF268">
        <v>1.7949999999999999</v>
      </c>
      <c r="AG268" t="str">
        <f>HYPERLINK("https://finance.naver.com/item/fchart.naver?code=001527", "동양2우B 차트보기")</f>
        <v>동양2우B 차트보기</v>
      </c>
    </row>
    <row r="269" spans="1:33" x14ac:dyDescent="0.3">
      <c r="A269" t="s">
        <v>1103</v>
      </c>
      <c r="B269" t="s">
        <v>55</v>
      </c>
      <c r="C269" t="s">
        <v>1104</v>
      </c>
      <c r="D269">
        <v>7331.95</v>
      </c>
      <c r="E269" t="s">
        <v>1105</v>
      </c>
      <c r="F269">
        <v>89.33</v>
      </c>
      <c r="G269">
        <v>3.1099998950958252</v>
      </c>
      <c r="H269">
        <v>180</v>
      </c>
      <c r="I269">
        <v>0</v>
      </c>
      <c r="J269" t="s">
        <v>1106</v>
      </c>
      <c r="K269">
        <v>16500</v>
      </c>
      <c r="L269">
        <v>16080</v>
      </c>
      <c r="M269">
        <v>-2.5499999999999998</v>
      </c>
      <c r="N269">
        <v>-3.54</v>
      </c>
      <c r="O269">
        <v>5.89</v>
      </c>
      <c r="P269">
        <v>-1.73</v>
      </c>
      <c r="Q269">
        <v>0.83</v>
      </c>
      <c r="R269">
        <v>-4.2300000000000004</v>
      </c>
      <c r="S269">
        <v>0.62</v>
      </c>
      <c r="T269">
        <v>1.1599999999999999</v>
      </c>
      <c r="U269">
        <v>2.42</v>
      </c>
      <c r="V269">
        <v>1.28</v>
      </c>
      <c r="W269">
        <v>2.17</v>
      </c>
      <c r="X269">
        <v>1.25</v>
      </c>
      <c r="Y269">
        <v>3.21</v>
      </c>
      <c r="Z269">
        <v>3.05</v>
      </c>
      <c r="AA269">
        <v>2.4300000000000002</v>
      </c>
      <c r="AB269">
        <v>1.35</v>
      </c>
      <c r="AC269">
        <v>0.38</v>
      </c>
      <c r="AD269">
        <v>3.38</v>
      </c>
      <c r="AE269">
        <v>0.19</v>
      </c>
      <c r="AF269">
        <v>1.7966666666666671</v>
      </c>
      <c r="AG269" t="str">
        <f>HYPERLINK("https://finance.naver.com/item/fchart.naver?code=099750", "이지케어텍 차트보기")</f>
        <v>이지케어텍 차트보기</v>
      </c>
    </row>
    <row r="270" spans="1:33" x14ac:dyDescent="0.3">
      <c r="A270" t="s">
        <v>1107</v>
      </c>
      <c r="B270" t="s">
        <v>55</v>
      </c>
      <c r="C270" t="s">
        <v>1108</v>
      </c>
      <c r="D270">
        <v>3740.14</v>
      </c>
      <c r="E270" t="s">
        <v>1109</v>
      </c>
      <c r="F270">
        <v>0</v>
      </c>
      <c r="G270">
        <v>0</v>
      </c>
      <c r="H270">
        <v>0</v>
      </c>
      <c r="I270">
        <v>0</v>
      </c>
      <c r="J270" t="s">
        <v>1110</v>
      </c>
      <c r="K270">
        <v>2285</v>
      </c>
      <c r="L270">
        <v>2170</v>
      </c>
      <c r="M270">
        <v>-5.03</v>
      </c>
      <c r="N270">
        <v>-1.36</v>
      </c>
      <c r="O270">
        <v>-0.45</v>
      </c>
      <c r="P270">
        <v>-1.36</v>
      </c>
      <c r="Q270">
        <v>0.22</v>
      </c>
      <c r="R270">
        <v>-1.76</v>
      </c>
      <c r="S270">
        <v>0.22</v>
      </c>
      <c r="T270">
        <v>0.43</v>
      </c>
      <c r="U270">
        <v>0.56000000000000005</v>
      </c>
      <c r="V270">
        <v>0.56000000000000005</v>
      </c>
      <c r="W270">
        <v>0.79</v>
      </c>
      <c r="X270">
        <v>0.47</v>
      </c>
      <c r="Y270">
        <v>0.55000000000000004</v>
      </c>
      <c r="Z270">
        <v>3.16</v>
      </c>
      <c r="AA270">
        <v>0.8</v>
      </c>
      <c r="AB270">
        <v>2.4300000000000002</v>
      </c>
      <c r="AC270">
        <v>0.28000000000000003</v>
      </c>
      <c r="AD270">
        <v>3.74</v>
      </c>
      <c r="AE270">
        <v>0.4</v>
      </c>
      <c r="AF270">
        <v>1.801666666666667</v>
      </c>
      <c r="AG270" t="str">
        <f>HYPERLINK("https://finance.naver.com/item/fchart.naver?code=445970", "신영스팩9호 차트보기")</f>
        <v>신영스팩9호 차트보기</v>
      </c>
    </row>
    <row r="271" spans="1:33" x14ac:dyDescent="0.3">
      <c r="A271" t="s">
        <v>1111</v>
      </c>
      <c r="B271" t="s">
        <v>55</v>
      </c>
      <c r="C271" t="s">
        <v>1112</v>
      </c>
      <c r="D271">
        <v>699203.62</v>
      </c>
      <c r="E271" t="s">
        <v>1113</v>
      </c>
      <c r="F271">
        <v>83.89</v>
      </c>
      <c r="G271">
        <v>2.2100000381469731</v>
      </c>
      <c r="H271">
        <v>36</v>
      </c>
      <c r="I271">
        <v>0.99000000953674316</v>
      </c>
      <c r="J271" t="s">
        <v>1114</v>
      </c>
      <c r="K271">
        <v>2940</v>
      </c>
      <c r="L271">
        <v>3020</v>
      </c>
      <c r="M271">
        <v>2.72</v>
      </c>
      <c r="N271">
        <v>0.33</v>
      </c>
      <c r="O271">
        <v>6.75</v>
      </c>
      <c r="P271">
        <v>2.25</v>
      </c>
      <c r="Q271">
        <v>-4.16</v>
      </c>
      <c r="R271">
        <v>-5.43</v>
      </c>
      <c r="S271">
        <v>0.5</v>
      </c>
      <c r="T271">
        <v>1.83</v>
      </c>
      <c r="U271">
        <v>1.85</v>
      </c>
      <c r="V271">
        <v>1.75</v>
      </c>
      <c r="W271">
        <v>3.77</v>
      </c>
      <c r="X271">
        <v>1.25</v>
      </c>
      <c r="Y271">
        <v>1.92</v>
      </c>
      <c r="Z271">
        <v>0.18</v>
      </c>
      <c r="AA271">
        <v>3.65</v>
      </c>
      <c r="AB271">
        <v>1.29</v>
      </c>
      <c r="AC271">
        <v>1.1000000000000001</v>
      </c>
      <c r="AD271">
        <v>4.34</v>
      </c>
      <c r="AE271">
        <v>0.26</v>
      </c>
      <c r="AF271">
        <v>1.803333333333333</v>
      </c>
      <c r="AG271" t="str">
        <f>HYPERLINK("https://finance.naver.com/item/fchart.naver?code=319400", "현대무벡스 차트보기")</f>
        <v>현대무벡스 차트보기</v>
      </c>
    </row>
    <row r="272" spans="1:33" x14ac:dyDescent="0.3">
      <c r="A272" t="s">
        <v>1115</v>
      </c>
      <c r="B272" t="s">
        <v>34</v>
      </c>
      <c r="C272" t="s">
        <v>1116</v>
      </c>
      <c r="D272">
        <v>211833.67</v>
      </c>
      <c r="E272" t="s">
        <v>1117</v>
      </c>
      <c r="F272">
        <v>49.08</v>
      </c>
      <c r="G272">
        <v>0.43000000715255737</v>
      </c>
      <c r="H272">
        <v>65</v>
      </c>
      <c r="I272">
        <v>0.31000000238418579</v>
      </c>
      <c r="J272" t="s">
        <v>1118</v>
      </c>
      <c r="K272">
        <v>3995</v>
      </c>
      <c r="L272">
        <v>3190</v>
      </c>
      <c r="M272">
        <v>-20.149999999999999</v>
      </c>
      <c r="N272">
        <v>3.24</v>
      </c>
      <c r="O272">
        <v>-8.36</v>
      </c>
      <c r="P272">
        <v>4.99</v>
      </c>
      <c r="Q272">
        <v>-11.14</v>
      </c>
      <c r="R272">
        <v>0.13</v>
      </c>
      <c r="S272">
        <v>-10.75</v>
      </c>
      <c r="T272">
        <v>3.15</v>
      </c>
      <c r="U272">
        <v>2.5499999999999998</v>
      </c>
      <c r="V272">
        <v>2.08</v>
      </c>
      <c r="W272">
        <v>4.5</v>
      </c>
      <c r="X272">
        <v>2.96</v>
      </c>
      <c r="Y272">
        <v>6.73</v>
      </c>
      <c r="Z272">
        <v>1.03</v>
      </c>
      <c r="AA272">
        <v>3.28</v>
      </c>
      <c r="AB272">
        <v>2.4</v>
      </c>
      <c r="AC272">
        <v>2.48</v>
      </c>
      <c r="AD272">
        <v>0.04</v>
      </c>
      <c r="AE272">
        <v>1.6</v>
      </c>
      <c r="AF272">
        <v>1.8049999999999999</v>
      </c>
      <c r="AG272" t="str">
        <f>HYPERLINK("https://finance.naver.com/item/fchart.naver?code=071090", "하이스틸 차트보기")</f>
        <v>하이스틸 차트보기</v>
      </c>
    </row>
    <row r="273" spans="1:33" x14ac:dyDescent="0.3">
      <c r="A273" t="s">
        <v>1119</v>
      </c>
      <c r="B273" t="s">
        <v>55</v>
      </c>
      <c r="C273" t="s">
        <v>1120</v>
      </c>
      <c r="D273">
        <v>8625.86</v>
      </c>
      <c r="E273" t="s">
        <v>1121</v>
      </c>
      <c r="F273">
        <v>15.03</v>
      </c>
      <c r="G273">
        <v>0.81999999284744263</v>
      </c>
      <c r="H273">
        <v>672</v>
      </c>
      <c r="I273">
        <v>0.99000000953674316</v>
      </c>
      <c r="J273" t="s">
        <v>1122</v>
      </c>
      <c r="K273">
        <v>12220</v>
      </c>
      <c r="L273">
        <v>10100</v>
      </c>
      <c r="M273">
        <v>-17.350000000000001</v>
      </c>
      <c r="N273">
        <v>0.3</v>
      </c>
      <c r="O273">
        <v>-0.49</v>
      </c>
      <c r="P273">
        <v>-2.99</v>
      </c>
      <c r="Q273">
        <v>-9.82</v>
      </c>
      <c r="R273">
        <v>-4.0199999999999996</v>
      </c>
      <c r="S273">
        <v>-1.88</v>
      </c>
      <c r="T273">
        <v>0.68</v>
      </c>
      <c r="U273">
        <v>0.78</v>
      </c>
      <c r="V273">
        <v>1.6</v>
      </c>
      <c r="W273">
        <v>2.76</v>
      </c>
      <c r="X273">
        <v>1.22</v>
      </c>
      <c r="Y273">
        <v>1.82</v>
      </c>
      <c r="Z273">
        <v>0.44</v>
      </c>
      <c r="AA273">
        <v>0.63</v>
      </c>
      <c r="AB273">
        <v>1.87</v>
      </c>
      <c r="AC273">
        <v>3.56</v>
      </c>
      <c r="AD273">
        <v>3.3</v>
      </c>
      <c r="AE273">
        <v>1.03</v>
      </c>
      <c r="AF273">
        <v>1.8049999999999999</v>
      </c>
      <c r="AG273" t="str">
        <f>HYPERLINK("https://finance.naver.com/item/fchart.naver?code=023900", "풍국주정 차트보기")</f>
        <v>풍국주정 차트보기</v>
      </c>
    </row>
    <row r="274" spans="1:33" x14ac:dyDescent="0.3">
      <c r="A274" t="s">
        <v>1123</v>
      </c>
      <c r="B274" t="s">
        <v>55</v>
      </c>
      <c r="C274" t="s">
        <v>1124</v>
      </c>
      <c r="D274">
        <v>198901.52</v>
      </c>
      <c r="E274" t="s">
        <v>1125</v>
      </c>
      <c r="F274">
        <v>11.56</v>
      </c>
      <c r="G274">
        <v>2.7599999904632568</v>
      </c>
      <c r="H274">
        <v>199</v>
      </c>
      <c r="I274">
        <v>0</v>
      </c>
      <c r="J274" t="s">
        <v>1126</v>
      </c>
      <c r="K274">
        <v>2670</v>
      </c>
      <c r="L274">
        <v>2300</v>
      </c>
      <c r="M274">
        <v>-13.86</v>
      </c>
      <c r="N274">
        <v>-2.75</v>
      </c>
      <c r="O274">
        <v>7.84</v>
      </c>
      <c r="P274">
        <v>-13.25</v>
      </c>
      <c r="Q274">
        <v>-9.7799999999999994</v>
      </c>
      <c r="R274">
        <v>2.09</v>
      </c>
      <c r="S274">
        <v>1.1499999999999999</v>
      </c>
      <c r="T274">
        <v>3.61</v>
      </c>
      <c r="U274">
        <v>2.21</v>
      </c>
      <c r="V274">
        <v>3.48</v>
      </c>
      <c r="W274">
        <v>4.3499999999999996</v>
      </c>
      <c r="X274">
        <v>6.31</v>
      </c>
      <c r="Y274">
        <v>9.14</v>
      </c>
      <c r="Z274">
        <v>0.76</v>
      </c>
      <c r="AA274">
        <v>3.55</v>
      </c>
      <c r="AB274">
        <v>3.81</v>
      </c>
      <c r="AC274">
        <v>2.25</v>
      </c>
      <c r="AD274">
        <v>0.33</v>
      </c>
      <c r="AE274">
        <v>0.13</v>
      </c>
      <c r="AF274">
        <v>1.8049999999999999</v>
      </c>
      <c r="AG274" t="str">
        <f>HYPERLINK("https://finance.naver.com/item/fchart.naver?code=101000", "KS인더스트리 차트보기")</f>
        <v>KS인더스트리 차트보기</v>
      </c>
    </row>
    <row r="275" spans="1:33" x14ac:dyDescent="0.3">
      <c r="A275" t="s">
        <v>1127</v>
      </c>
      <c r="B275" t="s">
        <v>55</v>
      </c>
      <c r="C275" t="s">
        <v>1128</v>
      </c>
      <c r="D275">
        <v>103006.9</v>
      </c>
      <c r="E275" t="s">
        <v>1129</v>
      </c>
      <c r="F275">
        <v>48.91</v>
      </c>
      <c r="G275">
        <v>3.220000028610229</v>
      </c>
      <c r="H275">
        <v>3026</v>
      </c>
      <c r="I275">
        <v>0.30000001192092901</v>
      </c>
      <c r="J275" t="s">
        <v>1130</v>
      </c>
      <c r="K275">
        <v>225500</v>
      </c>
      <c r="L275">
        <v>148000</v>
      </c>
      <c r="M275">
        <v>-34.369999999999997</v>
      </c>
      <c r="N275">
        <v>-7.27</v>
      </c>
      <c r="O275">
        <v>11.61</v>
      </c>
      <c r="P275">
        <v>-6.53</v>
      </c>
      <c r="Q275">
        <v>-1.55</v>
      </c>
      <c r="R275">
        <v>-3.78</v>
      </c>
      <c r="S275">
        <v>-8.61</v>
      </c>
      <c r="T275">
        <v>4.1100000000000003</v>
      </c>
      <c r="U275">
        <v>3.99</v>
      </c>
      <c r="V275">
        <v>3.41</v>
      </c>
      <c r="W275">
        <v>5.32</v>
      </c>
      <c r="X275">
        <v>5.1100000000000003</v>
      </c>
      <c r="Y275">
        <v>2.67</v>
      </c>
      <c r="Z275">
        <v>1.77</v>
      </c>
      <c r="AA275">
        <v>2.91</v>
      </c>
      <c r="AB275">
        <v>1.91</v>
      </c>
      <c r="AC275">
        <v>0.28999999999999998</v>
      </c>
      <c r="AD275">
        <v>0.74</v>
      </c>
      <c r="AE275">
        <v>3.22</v>
      </c>
      <c r="AF275">
        <v>1.8066666666666671</v>
      </c>
      <c r="AG275" t="str">
        <f>HYPERLINK("https://finance.naver.com/item/fchart.naver?code=039030", "이오테크닉스 차트보기")</f>
        <v>이오테크닉스 차트보기</v>
      </c>
    </row>
    <row r="276" spans="1:33" x14ac:dyDescent="0.3">
      <c r="A276" t="s">
        <v>1131</v>
      </c>
      <c r="B276" t="s">
        <v>55</v>
      </c>
      <c r="C276" t="s">
        <v>1132</v>
      </c>
      <c r="D276">
        <v>77057.19</v>
      </c>
      <c r="E276" t="s">
        <v>1133</v>
      </c>
      <c r="F276">
        <v>0</v>
      </c>
      <c r="G276">
        <v>5.2600002288818359</v>
      </c>
      <c r="H276">
        <v>0</v>
      </c>
      <c r="I276">
        <v>0</v>
      </c>
      <c r="J276" t="s">
        <v>1134</v>
      </c>
      <c r="K276">
        <v>4200</v>
      </c>
      <c r="L276">
        <v>4225</v>
      </c>
      <c r="M276">
        <v>0.6</v>
      </c>
      <c r="N276">
        <v>-1.97</v>
      </c>
      <c r="O276">
        <v>7.75</v>
      </c>
      <c r="P276">
        <v>1</v>
      </c>
      <c r="Q276">
        <v>-3.16</v>
      </c>
      <c r="R276">
        <v>-1.32</v>
      </c>
      <c r="S276">
        <v>0.36</v>
      </c>
      <c r="T276">
        <v>1.82</v>
      </c>
      <c r="U276">
        <v>1.57</v>
      </c>
      <c r="V276">
        <v>0.82</v>
      </c>
      <c r="W276">
        <v>2.1</v>
      </c>
      <c r="X276">
        <v>0.7</v>
      </c>
      <c r="Y276">
        <v>1.68</v>
      </c>
      <c r="Z276">
        <v>1.08</v>
      </c>
      <c r="AA276">
        <v>4.9400000000000004</v>
      </c>
      <c r="AB276">
        <v>1.22</v>
      </c>
      <c r="AC276">
        <v>1.5</v>
      </c>
      <c r="AD276">
        <v>1.89</v>
      </c>
      <c r="AE276">
        <v>0.21</v>
      </c>
      <c r="AF276">
        <v>1.8066666666666671</v>
      </c>
      <c r="AG276" t="str">
        <f>HYPERLINK("https://finance.naver.com/item/fchart.naver?code=041960", "코미팜 차트보기")</f>
        <v>코미팜 차트보기</v>
      </c>
    </row>
    <row r="277" spans="1:33" x14ac:dyDescent="0.3">
      <c r="A277" t="s">
        <v>1135</v>
      </c>
      <c r="B277" t="s">
        <v>55</v>
      </c>
      <c r="C277" t="s">
        <v>1136</v>
      </c>
      <c r="D277">
        <v>286821.81</v>
      </c>
      <c r="E277" t="s">
        <v>1137</v>
      </c>
      <c r="F277">
        <v>0</v>
      </c>
      <c r="G277">
        <v>0.57999998331069946</v>
      </c>
      <c r="H277">
        <v>0</v>
      </c>
      <c r="I277">
        <v>0</v>
      </c>
      <c r="J277" t="s">
        <v>1138</v>
      </c>
      <c r="K277">
        <v>3340</v>
      </c>
      <c r="L277">
        <v>2260</v>
      </c>
      <c r="M277">
        <v>-32.340000000000003</v>
      </c>
      <c r="N277">
        <v>0</v>
      </c>
      <c r="O277">
        <v>-2.2799999999999998</v>
      </c>
      <c r="P277">
        <v>0.85</v>
      </c>
      <c r="Q277">
        <v>-11.31</v>
      </c>
      <c r="R277">
        <v>-14.33</v>
      </c>
      <c r="S277">
        <v>1.64</v>
      </c>
      <c r="T277">
        <v>4.49</v>
      </c>
      <c r="U277">
        <v>3.75</v>
      </c>
      <c r="V277">
        <v>2.4</v>
      </c>
      <c r="W277">
        <v>4.16</v>
      </c>
      <c r="X277">
        <v>2.2000000000000002</v>
      </c>
      <c r="Y277">
        <v>2.5</v>
      </c>
      <c r="Z277">
        <v>0</v>
      </c>
      <c r="AA277">
        <v>0.61</v>
      </c>
      <c r="AB277">
        <v>0.35</v>
      </c>
      <c r="AC277">
        <v>2.72</v>
      </c>
      <c r="AD277">
        <v>6.51</v>
      </c>
      <c r="AE277">
        <v>0.66</v>
      </c>
      <c r="AF277">
        <v>1.8083333333333329</v>
      </c>
      <c r="AG277" t="str">
        <f>HYPERLINK("https://finance.naver.com/item/fchart.naver?code=160550", "NEW 차트보기")</f>
        <v>NEW 차트보기</v>
      </c>
    </row>
    <row r="278" spans="1:33" x14ac:dyDescent="0.3">
      <c r="A278" t="s">
        <v>1139</v>
      </c>
      <c r="B278" t="s">
        <v>34</v>
      </c>
      <c r="C278" t="s">
        <v>1140</v>
      </c>
      <c r="D278">
        <v>1738.57</v>
      </c>
      <c r="E278" t="s">
        <v>1141</v>
      </c>
      <c r="F278">
        <v>14.61</v>
      </c>
      <c r="G278">
        <v>1.190000057220459</v>
      </c>
      <c r="H278">
        <v>980</v>
      </c>
      <c r="I278">
        <v>1.889999985694885</v>
      </c>
      <c r="J278" t="s">
        <v>1142</v>
      </c>
      <c r="K278">
        <v>14700</v>
      </c>
      <c r="L278">
        <v>14320</v>
      </c>
      <c r="M278">
        <v>-2.59</v>
      </c>
      <c r="N278">
        <v>0.14000000000000001</v>
      </c>
      <c r="O278">
        <v>0.28000000000000003</v>
      </c>
      <c r="P278">
        <v>-0.14000000000000001</v>
      </c>
      <c r="Q278">
        <v>0.49</v>
      </c>
      <c r="R278">
        <v>-1.53</v>
      </c>
      <c r="S278">
        <v>-0.88</v>
      </c>
      <c r="T278">
        <v>0.06</v>
      </c>
      <c r="U278">
        <v>0.12</v>
      </c>
      <c r="V278">
        <v>0.32</v>
      </c>
      <c r="W278">
        <v>0.21</v>
      </c>
      <c r="X278">
        <v>0.94</v>
      </c>
      <c r="Y278">
        <v>0.49</v>
      </c>
      <c r="Z278">
        <v>2.33</v>
      </c>
      <c r="AA278">
        <v>2.33</v>
      </c>
      <c r="AB278">
        <v>0.44</v>
      </c>
      <c r="AC278">
        <v>2.33</v>
      </c>
      <c r="AD278">
        <v>1.63</v>
      </c>
      <c r="AE278">
        <v>1.8</v>
      </c>
      <c r="AF278">
        <v>1.81</v>
      </c>
      <c r="AG278" t="str">
        <f>HYPERLINK("https://finance.naver.com/item/fchart.naver?code=004080", "신흥 차트보기")</f>
        <v>신흥 차트보기</v>
      </c>
    </row>
    <row r="279" spans="1:33" x14ac:dyDescent="0.3">
      <c r="A279" t="s">
        <v>1143</v>
      </c>
      <c r="B279" t="s">
        <v>34</v>
      </c>
      <c r="C279" t="s">
        <v>1144</v>
      </c>
      <c r="D279">
        <v>371.43</v>
      </c>
      <c r="E279" t="s">
        <v>1145</v>
      </c>
      <c r="F279">
        <v>0</v>
      </c>
      <c r="G279">
        <v>0</v>
      </c>
      <c r="H279">
        <v>0</v>
      </c>
      <c r="I279">
        <v>0</v>
      </c>
      <c r="J279" t="s">
        <v>1146</v>
      </c>
      <c r="K279">
        <v>11550</v>
      </c>
      <c r="L279">
        <v>10150</v>
      </c>
      <c r="M279">
        <v>-12.12</v>
      </c>
      <c r="N279">
        <v>0.1</v>
      </c>
      <c r="O279">
        <v>-2.52</v>
      </c>
      <c r="P279">
        <v>-6.1</v>
      </c>
      <c r="Q279">
        <v>-3.63</v>
      </c>
      <c r="R279">
        <v>2.75</v>
      </c>
      <c r="S279">
        <v>-1.75</v>
      </c>
      <c r="T279">
        <v>1.02</v>
      </c>
      <c r="U279">
        <v>1.06</v>
      </c>
      <c r="V279">
        <v>1.91</v>
      </c>
      <c r="W279">
        <v>2.41</v>
      </c>
      <c r="X279">
        <v>1.0900000000000001</v>
      </c>
      <c r="Y279">
        <v>1.49</v>
      </c>
      <c r="Z279">
        <v>0.1</v>
      </c>
      <c r="AA279">
        <v>2.38</v>
      </c>
      <c r="AB279">
        <v>3.19</v>
      </c>
      <c r="AC279">
        <v>1.51</v>
      </c>
      <c r="AD279">
        <v>2.52</v>
      </c>
      <c r="AE279">
        <v>1.17</v>
      </c>
      <c r="AF279">
        <v>1.811666666666667</v>
      </c>
      <c r="AG279" t="str">
        <f>HYPERLINK("https://finance.naver.com/item/fchart.naver?code=000227", "유유제약2우B 차트보기")</f>
        <v>유유제약2우B 차트보기</v>
      </c>
    </row>
    <row r="280" spans="1:33" x14ac:dyDescent="0.3">
      <c r="A280" t="s">
        <v>1147</v>
      </c>
      <c r="B280" t="s">
        <v>55</v>
      </c>
      <c r="C280" t="s">
        <v>1148</v>
      </c>
      <c r="D280">
        <v>964369.81</v>
      </c>
      <c r="E280" t="s">
        <v>1149</v>
      </c>
      <c r="F280">
        <v>18.23</v>
      </c>
      <c r="G280">
        <v>1.1000000238418579</v>
      </c>
      <c r="H280">
        <v>186</v>
      </c>
      <c r="I280">
        <v>1.179999947547913</v>
      </c>
      <c r="J280" t="s">
        <v>1150</v>
      </c>
      <c r="K280">
        <v>3740</v>
      </c>
      <c r="L280">
        <v>3390</v>
      </c>
      <c r="M280">
        <v>-9.36</v>
      </c>
      <c r="N280">
        <v>-6.61</v>
      </c>
      <c r="O280">
        <v>-6.73</v>
      </c>
      <c r="P280">
        <v>5.37</v>
      </c>
      <c r="Q280">
        <v>3.19</v>
      </c>
      <c r="R280">
        <v>-2.04</v>
      </c>
      <c r="S280">
        <v>-15.45</v>
      </c>
      <c r="T280">
        <v>1.93</v>
      </c>
      <c r="U280">
        <v>3.28</v>
      </c>
      <c r="V280">
        <v>2.74</v>
      </c>
      <c r="W280">
        <v>7.74</v>
      </c>
      <c r="X280">
        <v>2.33</v>
      </c>
      <c r="Y280">
        <v>7.2</v>
      </c>
      <c r="Z280">
        <v>3.42</v>
      </c>
      <c r="AA280">
        <v>2.0499999999999998</v>
      </c>
      <c r="AB280">
        <v>1.96</v>
      </c>
      <c r="AC280">
        <v>0.41</v>
      </c>
      <c r="AD280">
        <v>0.88</v>
      </c>
      <c r="AE280">
        <v>2.15</v>
      </c>
      <c r="AF280">
        <v>1.811666666666667</v>
      </c>
      <c r="AG280" t="str">
        <f>HYPERLINK("https://finance.naver.com/item/fchart.naver?code=053050", "지에스이 차트보기")</f>
        <v>지에스이 차트보기</v>
      </c>
    </row>
    <row r="281" spans="1:33" x14ac:dyDescent="0.3">
      <c r="A281" t="s">
        <v>1151</v>
      </c>
      <c r="B281" t="s">
        <v>55</v>
      </c>
      <c r="C281" t="s">
        <v>1152</v>
      </c>
      <c r="D281">
        <v>32073</v>
      </c>
      <c r="E281" t="s">
        <v>1153</v>
      </c>
      <c r="F281">
        <v>7.51</v>
      </c>
      <c r="G281">
        <v>1.0399999618530269</v>
      </c>
      <c r="H281">
        <v>345</v>
      </c>
      <c r="I281">
        <v>3.089999914169312</v>
      </c>
      <c r="J281" t="s">
        <v>1154</v>
      </c>
      <c r="K281">
        <v>2740</v>
      </c>
      <c r="L281">
        <v>2590</v>
      </c>
      <c r="M281">
        <v>-5.47</v>
      </c>
      <c r="N281">
        <v>-1.1499999999999999</v>
      </c>
      <c r="O281">
        <v>0</v>
      </c>
      <c r="P281">
        <v>-1.7</v>
      </c>
      <c r="Q281">
        <v>1.72</v>
      </c>
      <c r="R281">
        <v>-0.19</v>
      </c>
      <c r="S281">
        <v>-2.77</v>
      </c>
      <c r="T281">
        <v>0.65</v>
      </c>
      <c r="U281">
        <v>0.9</v>
      </c>
      <c r="V281">
        <v>0.61</v>
      </c>
      <c r="W281">
        <v>1.84</v>
      </c>
      <c r="X281">
        <v>0.75</v>
      </c>
      <c r="Y281">
        <v>0.54</v>
      </c>
      <c r="Z281">
        <v>1.77</v>
      </c>
      <c r="AA281">
        <v>0</v>
      </c>
      <c r="AB281">
        <v>2.79</v>
      </c>
      <c r="AC281">
        <v>0.93</v>
      </c>
      <c r="AD281">
        <v>0.25</v>
      </c>
      <c r="AE281">
        <v>5.13</v>
      </c>
      <c r="AF281">
        <v>1.811666666666667</v>
      </c>
      <c r="AG281" t="str">
        <f>HYPERLINK("https://finance.naver.com/item/fchart.naver?code=039420", "케이엘넷 차트보기")</f>
        <v>케이엘넷 차트보기</v>
      </c>
    </row>
    <row r="282" spans="1:33" x14ac:dyDescent="0.3">
      <c r="A282" t="s">
        <v>1155</v>
      </c>
      <c r="B282" t="s">
        <v>55</v>
      </c>
      <c r="C282" t="s">
        <v>1156</v>
      </c>
      <c r="D282">
        <v>130864.14</v>
      </c>
      <c r="E282" t="s">
        <v>1157</v>
      </c>
      <c r="F282">
        <v>0</v>
      </c>
      <c r="G282">
        <v>2.5999999046325679</v>
      </c>
      <c r="H282">
        <v>0</v>
      </c>
      <c r="I282">
        <v>0</v>
      </c>
      <c r="J282" t="s">
        <v>1158</v>
      </c>
      <c r="K282">
        <v>9050</v>
      </c>
      <c r="L282">
        <v>6460</v>
      </c>
      <c r="M282">
        <v>-28.62</v>
      </c>
      <c r="N282">
        <v>-13.17</v>
      </c>
      <c r="O282">
        <v>7.73</v>
      </c>
      <c r="P282">
        <v>9.7899999999999991</v>
      </c>
      <c r="Q282">
        <v>0.59</v>
      </c>
      <c r="R282">
        <v>-21.34</v>
      </c>
      <c r="S282">
        <v>0.11</v>
      </c>
      <c r="T282">
        <v>4.07</v>
      </c>
      <c r="U282">
        <v>2.79</v>
      </c>
      <c r="V282">
        <v>4.9000000000000004</v>
      </c>
      <c r="W282">
        <v>4.17</v>
      </c>
      <c r="X282">
        <v>7.8</v>
      </c>
      <c r="Y282">
        <v>4.57</v>
      </c>
      <c r="Z282">
        <v>3.24</v>
      </c>
      <c r="AA282">
        <v>2.77</v>
      </c>
      <c r="AB282">
        <v>2</v>
      </c>
      <c r="AC282">
        <v>0.14000000000000001</v>
      </c>
      <c r="AD282">
        <v>2.74</v>
      </c>
      <c r="AE282">
        <v>0.02</v>
      </c>
      <c r="AF282">
        <v>1.8183333333333329</v>
      </c>
      <c r="AG282" t="str">
        <f>HYPERLINK("https://finance.naver.com/item/fchart.naver?code=383930", "디티앤씨알오 차트보기")</f>
        <v>디티앤씨알오 차트보기</v>
      </c>
    </row>
    <row r="283" spans="1:33" x14ac:dyDescent="0.3">
      <c r="A283" t="s">
        <v>1159</v>
      </c>
      <c r="B283" t="s">
        <v>55</v>
      </c>
      <c r="C283" t="s">
        <v>1160</v>
      </c>
      <c r="D283">
        <v>222125.52</v>
      </c>
      <c r="E283" t="s">
        <v>1161</v>
      </c>
      <c r="F283">
        <v>0</v>
      </c>
      <c r="G283">
        <v>0.95999997854232788</v>
      </c>
      <c r="H283">
        <v>0</v>
      </c>
      <c r="I283">
        <v>0</v>
      </c>
      <c r="J283" t="s">
        <v>1162</v>
      </c>
      <c r="K283">
        <v>21750</v>
      </c>
      <c r="L283">
        <v>16380</v>
      </c>
      <c r="M283">
        <v>-24.69</v>
      </c>
      <c r="N283">
        <v>-5.0999999999999996</v>
      </c>
      <c r="O283">
        <v>1.49</v>
      </c>
      <c r="P283">
        <v>-3.47</v>
      </c>
      <c r="Q283">
        <v>-5.04</v>
      </c>
      <c r="R283">
        <v>-9.86</v>
      </c>
      <c r="S283">
        <v>-2.84</v>
      </c>
      <c r="T283">
        <v>3.71</v>
      </c>
      <c r="U283">
        <v>2.63</v>
      </c>
      <c r="V283">
        <v>2.27</v>
      </c>
      <c r="W283">
        <v>3.39</v>
      </c>
      <c r="X283">
        <v>2.13</v>
      </c>
      <c r="Y283">
        <v>2.15</v>
      </c>
      <c r="Z283">
        <v>1.37</v>
      </c>
      <c r="AA283">
        <v>0.56999999999999995</v>
      </c>
      <c r="AB283">
        <v>1.53</v>
      </c>
      <c r="AC283">
        <v>1.49</v>
      </c>
      <c r="AD283">
        <v>4.63</v>
      </c>
      <c r="AE283">
        <v>1.32</v>
      </c>
      <c r="AF283">
        <v>1.8183333333333329</v>
      </c>
      <c r="AG283" t="str">
        <f>HYPERLINK("https://finance.naver.com/item/fchart.naver?code=293490", "카카오게임즈 차트보기")</f>
        <v>카카오게임즈 차트보기</v>
      </c>
    </row>
    <row r="284" spans="1:33" x14ac:dyDescent="0.3">
      <c r="A284" t="s">
        <v>1163</v>
      </c>
      <c r="B284" t="s">
        <v>55</v>
      </c>
      <c r="C284" t="s">
        <v>1164</v>
      </c>
      <c r="D284">
        <v>2002.24</v>
      </c>
      <c r="E284" t="s">
        <v>1165</v>
      </c>
      <c r="F284">
        <v>0</v>
      </c>
      <c r="G284">
        <v>0</v>
      </c>
      <c r="H284">
        <v>0</v>
      </c>
      <c r="I284">
        <v>0</v>
      </c>
      <c r="J284" t="s">
        <v>1166</v>
      </c>
      <c r="K284">
        <v>2205</v>
      </c>
      <c r="L284">
        <v>2165</v>
      </c>
      <c r="M284">
        <v>-1.81</v>
      </c>
      <c r="N284">
        <v>-0.92</v>
      </c>
      <c r="O284">
        <v>-0.23</v>
      </c>
      <c r="P284">
        <v>-0.68</v>
      </c>
      <c r="Q284">
        <v>-2.21</v>
      </c>
      <c r="R284">
        <v>-0.87</v>
      </c>
      <c r="S284">
        <v>1.56</v>
      </c>
      <c r="T284">
        <v>0.37</v>
      </c>
      <c r="U284">
        <v>0.45</v>
      </c>
      <c r="V284">
        <v>0.64</v>
      </c>
      <c r="W284">
        <v>0.66</v>
      </c>
      <c r="X284">
        <v>0.45</v>
      </c>
      <c r="Y284">
        <v>0.98</v>
      </c>
      <c r="Z284">
        <v>2.4900000000000002</v>
      </c>
      <c r="AA284">
        <v>0.51</v>
      </c>
      <c r="AB284">
        <v>1.06</v>
      </c>
      <c r="AC284">
        <v>3.35</v>
      </c>
      <c r="AD284">
        <v>1.93</v>
      </c>
      <c r="AE284">
        <v>1.59</v>
      </c>
      <c r="AF284">
        <v>1.821666666666667</v>
      </c>
      <c r="AG284" t="str">
        <f>HYPERLINK("https://finance.naver.com/item/fchart.naver?code=458610", "한국제12호스팩 차트보기")</f>
        <v>한국제12호스팩 차트보기</v>
      </c>
    </row>
    <row r="285" spans="1:33" x14ac:dyDescent="0.3">
      <c r="A285" t="s">
        <v>1167</v>
      </c>
      <c r="B285" t="s">
        <v>55</v>
      </c>
      <c r="C285" t="s">
        <v>1168</v>
      </c>
      <c r="D285">
        <v>1753632.52</v>
      </c>
      <c r="E285" t="s">
        <v>1169</v>
      </c>
      <c r="F285">
        <v>33.74</v>
      </c>
      <c r="G285">
        <v>9.9700002670288086</v>
      </c>
      <c r="H285">
        <v>990</v>
      </c>
      <c r="I285">
        <v>0.44999998807907099</v>
      </c>
      <c r="J285" t="s">
        <v>1170</v>
      </c>
      <c r="K285">
        <v>41200</v>
      </c>
      <c r="L285">
        <v>33400</v>
      </c>
      <c r="M285">
        <v>-18.93</v>
      </c>
      <c r="N285">
        <v>0.91</v>
      </c>
      <c r="O285">
        <v>-3.15</v>
      </c>
      <c r="P285">
        <v>7.24</v>
      </c>
      <c r="Q285">
        <v>-6.32</v>
      </c>
      <c r="R285">
        <v>-16.579999999999998</v>
      </c>
      <c r="S285">
        <v>-5.43</v>
      </c>
      <c r="T285">
        <v>4.5199999999999996</v>
      </c>
      <c r="U285">
        <v>4.0599999999999996</v>
      </c>
      <c r="V285">
        <v>3.91</v>
      </c>
      <c r="W285">
        <v>6.1</v>
      </c>
      <c r="X285">
        <v>3.29</v>
      </c>
      <c r="Y285">
        <v>2.67</v>
      </c>
      <c r="Z285">
        <v>0.2</v>
      </c>
      <c r="AA285">
        <v>0.78</v>
      </c>
      <c r="AB285">
        <v>1.85</v>
      </c>
      <c r="AC285">
        <v>1.04</v>
      </c>
      <c r="AD285">
        <v>5.04</v>
      </c>
      <c r="AE285">
        <v>2.0299999999999998</v>
      </c>
      <c r="AF285">
        <v>1.823333333333333</v>
      </c>
      <c r="AG285" t="str">
        <f>HYPERLINK("https://finance.naver.com/item/fchart.naver?code=403870", "HPSP 차트보기")</f>
        <v>HPSP 차트보기</v>
      </c>
    </row>
    <row r="286" spans="1:33" x14ac:dyDescent="0.3">
      <c r="A286" t="s">
        <v>1171</v>
      </c>
      <c r="B286" t="s">
        <v>55</v>
      </c>
      <c r="C286" t="s">
        <v>1172</v>
      </c>
      <c r="D286">
        <v>9072</v>
      </c>
      <c r="E286" t="s">
        <v>1173</v>
      </c>
      <c r="F286">
        <v>7.05</v>
      </c>
      <c r="G286">
        <v>0.2800000011920929</v>
      </c>
      <c r="H286">
        <v>258</v>
      </c>
      <c r="I286">
        <v>0</v>
      </c>
      <c r="J286" t="s">
        <v>1174</v>
      </c>
      <c r="K286">
        <v>2375</v>
      </c>
      <c r="L286">
        <v>1820</v>
      </c>
      <c r="M286">
        <v>-23.37</v>
      </c>
      <c r="N286">
        <v>-8.9499999999999993</v>
      </c>
      <c r="O286">
        <v>-4.3499999999999996</v>
      </c>
      <c r="P286">
        <v>-3.01</v>
      </c>
      <c r="Q286">
        <v>0.23</v>
      </c>
      <c r="R286">
        <v>0.23</v>
      </c>
      <c r="S286">
        <v>-1.1299999999999999</v>
      </c>
      <c r="T286">
        <v>3.24</v>
      </c>
      <c r="U286">
        <v>0.8</v>
      </c>
      <c r="V286">
        <v>1.56</v>
      </c>
      <c r="W286">
        <v>3.58</v>
      </c>
      <c r="X286">
        <v>2.63</v>
      </c>
      <c r="Y286">
        <v>1.68</v>
      </c>
      <c r="Z286">
        <v>2.76</v>
      </c>
      <c r="AA286">
        <v>5.44</v>
      </c>
      <c r="AB286">
        <v>1.93</v>
      </c>
      <c r="AC286">
        <v>0.06</v>
      </c>
      <c r="AD286">
        <v>0.09</v>
      </c>
      <c r="AE286">
        <v>0.67</v>
      </c>
      <c r="AF286">
        <v>1.825</v>
      </c>
      <c r="AG286" t="str">
        <f>HYPERLINK("https://finance.naver.com/item/fchart.naver?code=228340", "동양파일 차트보기")</f>
        <v>동양파일 차트보기</v>
      </c>
    </row>
    <row r="287" spans="1:33" x14ac:dyDescent="0.3">
      <c r="A287" t="s">
        <v>1175</v>
      </c>
      <c r="B287" t="s">
        <v>55</v>
      </c>
      <c r="C287" t="s">
        <v>1176</v>
      </c>
      <c r="D287">
        <v>49596.43</v>
      </c>
      <c r="E287" t="s">
        <v>1177</v>
      </c>
      <c r="F287">
        <v>4.58</v>
      </c>
      <c r="G287">
        <v>1.1000000238418579</v>
      </c>
      <c r="H287">
        <v>529</v>
      </c>
      <c r="I287">
        <v>0</v>
      </c>
      <c r="J287" t="s">
        <v>1178</v>
      </c>
      <c r="K287">
        <v>3520</v>
      </c>
      <c r="L287">
        <v>2425</v>
      </c>
      <c r="M287">
        <v>-31.11</v>
      </c>
      <c r="N287">
        <v>-3.19</v>
      </c>
      <c r="O287">
        <v>-3.23</v>
      </c>
      <c r="P287">
        <v>-1.29</v>
      </c>
      <c r="Q287">
        <v>-19.940000000000001</v>
      </c>
      <c r="R287">
        <v>2.4300000000000002</v>
      </c>
      <c r="S287">
        <v>-0.57999999999999996</v>
      </c>
      <c r="T287">
        <v>1.58</v>
      </c>
      <c r="U287">
        <v>1.7</v>
      </c>
      <c r="V287">
        <v>1.94</v>
      </c>
      <c r="W287">
        <v>3.67</v>
      </c>
      <c r="X287">
        <v>3.52</v>
      </c>
      <c r="Y287">
        <v>2.2000000000000002</v>
      </c>
      <c r="Z287">
        <v>2.02</v>
      </c>
      <c r="AA287">
        <v>1.9</v>
      </c>
      <c r="AB287">
        <v>0.66</v>
      </c>
      <c r="AC287">
        <v>5.43</v>
      </c>
      <c r="AD287">
        <v>0.69</v>
      </c>
      <c r="AE287">
        <v>0.26</v>
      </c>
      <c r="AF287">
        <v>1.826666666666666</v>
      </c>
      <c r="AG287" t="str">
        <f>HYPERLINK("https://finance.naver.com/item/fchart.naver?code=332570", "와이팜 차트보기")</f>
        <v>와이팜 차트보기</v>
      </c>
    </row>
    <row r="288" spans="1:33" x14ac:dyDescent="0.3">
      <c r="A288" t="s">
        <v>1179</v>
      </c>
      <c r="B288" t="s">
        <v>55</v>
      </c>
      <c r="C288" t="s">
        <v>1180</v>
      </c>
      <c r="D288">
        <v>181130.19</v>
      </c>
      <c r="E288" t="s">
        <v>1181</v>
      </c>
      <c r="F288">
        <v>8.99</v>
      </c>
      <c r="G288">
        <v>0.77999997138977051</v>
      </c>
      <c r="H288">
        <v>336</v>
      </c>
      <c r="I288">
        <v>6.619999885559082</v>
      </c>
      <c r="J288" t="s">
        <v>1182</v>
      </c>
      <c r="K288">
        <v>3645</v>
      </c>
      <c r="L288">
        <v>3020</v>
      </c>
      <c r="M288">
        <v>-17.149999999999999</v>
      </c>
      <c r="N288">
        <v>-1.95</v>
      </c>
      <c r="O288">
        <v>0.81</v>
      </c>
      <c r="P288">
        <v>-5.14</v>
      </c>
      <c r="Q288">
        <v>-5.01</v>
      </c>
      <c r="R288">
        <v>5.21</v>
      </c>
      <c r="S288">
        <v>-2.64</v>
      </c>
      <c r="T288">
        <v>1.04</v>
      </c>
      <c r="U288">
        <v>2.0699999999999998</v>
      </c>
      <c r="V288">
        <v>1.84</v>
      </c>
      <c r="W288">
        <v>2.66</v>
      </c>
      <c r="X288">
        <v>2.17</v>
      </c>
      <c r="Y288">
        <v>1.63</v>
      </c>
      <c r="Z288">
        <v>1.88</v>
      </c>
      <c r="AA288">
        <v>0.39</v>
      </c>
      <c r="AB288">
        <v>2.79</v>
      </c>
      <c r="AC288">
        <v>1.88</v>
      </c>
      <c r="AD288">
        <v>2.4</v>
      </c>
      <c r="AE288">
        <v>1.62</v>
      </c>
      <c r="AF288">
        <v>1.8266666666666671</v>
      </c>
      <c r="AG288" t="str">
        <f>HYPERLINK("https://finance.naver.com/item/fchart.naver?code=031330", "에스에이엠티 차트보기")</f>
        <v>에스에이엠티 차트보기</v>
      </c>
    </row>
    <row r="289" spans="1:33" x14ac:dyDescent="0.3">
      <c r="A289" t="s">
        <v>1183</v>
      </c>
      <c r="B289" t="s">
        <v>55</v>
      </c>
      <c r="C289" t="s">
        <v>1184</v>
      </c>
      <c r="D289">
        <v>605569.14</v>
      </c>
      <c r="E289" t="s">
        <v>1185</v>
      </c>
      <c r="F289">
        <v>0</v>
      </c>
      <c r="G289">
        <v>1.879999995231628</v>
      </c>
      <c r="H289">
        <v>0</v>
      </c>
      <c r="I289">
        <v>0</v>
      </c>
      <c r="J289" t="s">
        <v>1186</v>
      </c>
      <c r="K289">
        <v>1463</v>
      </c>
      <c r="L289">
        <v>1212</v>
      </c>
      <c r="M289">
        <v>-17.16</v>
      </c>
      <c r="N289">
        <v>-1.06</v>
      </c>
      <c r="O289">
        <v>-1.61</v>
      </c>
      <c r="P289">
        <v>-5.55</v>
      </c>
      <c r="Q289">
        <v>-5.6</v>
      </c>
      <c r="R289">
        <v>-5.19</v>
      </c>
      <c r="S289">
        <v>-0.91</v>
      </c>
      <c r="T289">
        <v>0.34</v>
      </c>
      <c r="U289">
        <v>2.2000000000000002</v>
      </c>
      <c r="V289">
        <v>2.81</v>
      </c>
      <c r="W289">
        <v>2.2599999999999998</v>
      </c>
      <c r="X289">
        <v>2.33</v>
      </c>
      <c r="Y289">
        <v>2.15</v>
      </c>
      <c r="Z289">
        <v>3.12</v>
      </c>
      <c r="AA289">
        <v>0.73</v>
      </c>
      <c r="AB289">
        <v>1.98</v>
      </c>
      <c r="AC289">
        <v>2.48</v>
      </c>
      <c r="AD289">
        <v>2.23</v>
      </c>
      <c r="AE289">
        <v>0.42</v>
      </c>
      <c r="AF289">
        <v>1.8266666666666671</v>
      </c>
      <c r="AG289" t="str">
        <f>HYPERLINK("https://finance.naver.com/item/fchart.naver?code=065650", "하이퍼코퍼레이션 차트보기")</f>
        <v>하이퍼코퍼레이션 차트보기</v>
      </c>
    </row>
    <row r="290" spans="1:33" x14ac:dyDescent="0.3">
      <c r="A290" t="s">
        <v>1187</v>
      </c>
      <c r="B290" t="s">
        <v>55</v>
      </c>
      <c r="C290" t="s">
        <v>1188</v>
      </c>
      <c r="D290">
        <v>4008.81</v>
      </c>
      <c r="E290" t="s">
        <v>1189</v>
      </c>
      <c r="F290">
        <v>0</v>
      </c>
      <c r="G290">
        <v>0</v>
      </c>
      <c r="H290">
        <v>0</v>
      </c>
      <c r="I290">
        <v>0</v>
      </c>
      <c r="J290" t="s">
        <v>1190</v>
      </c>
      <c r="K290">
        <v>2135</v>
      </c>
      <c r="L290">
        <v>2095</v>
      </c>
      <c r="M290">
        <v>-1.87</v>
      </c>
      <c r="N290">
        <v>0</v>
      </c>
      <c r="O290">
        <v>0</v>
      </c>
      <c r="P290">
        <v>0.24</v>
      </c>
      <c r="Q290">
        <v>-2.78</v>
      </c>
      <c r="R290">
        <v>0.94</v>
      </c>
      <c r="S290">
        <v>1.18</v>
      </c>
      <c r="T290">
        <v>0.5</v>
      </c>
      <c r="U290">
        <v>0.28999999999999998</v>
      </c>
      <c r="V290">
        <v>0.42</v>
      </c>
      <c r="W290">
        <v>0.51</v>
      </c>
      <c r="X290">
        <v>0.49</v>
      </c>
      <c r="Y290">
        <v>0.39</v>
      </c>
      <c r="Z290">
        <v>0</v>
      </c>
      <c r="AA290">
        <v>0</v>
      </c>
      <c r="AB290">
        <v>0.56999999999999995</v>
      </c>
      <c r="AC290">
        <v>5.45</v>
      </c>
      <c r="AD290">
        <v>1.92</v>
      </c>
      <c r="AE290">
        <v>3.03</v>
      </c>
      <c r="AF290">
        <v>1.8283333333333329</v>
      </c>
      <c r="AG290" t="str">
        <f>HYPERLINK("https://finance.naver.com/item/fchart.naver?code=473000", "에스케이증권제12호스팩 차트보기")</f>
        <v>에스케이증권제12호스팩 차트보기</v>
      </c>
    </row>
    <row r="291" spans="1:33" x14ac:dyDescent="0.3">
      <c r="A291" t="s">
        <v>1191</v>
      </c>
      <c r="B291" t="s">
        <v>55</v>
      </c>
      <c r="C291" t="s">
        <v>1192</v>
      </c>
      <c r="D291">
        <v>7721.57</v>
      </c>
      <c r="E291" t="s">
        <v>1193</v>
      </c>
      <c r="F291">
        <v>15.41</v>
      </c>
      <c r="G291">
        <v>0.46000000834465032</v>
      </c>
      <c r="H291">
        <v>234</v>
      </c>
      <c r="I291">
        <v>6.929999828338623</v>
      </c>
      <c r="J291" t="s">
        <v>1194</v>
      </c>
      <c r="K291">
        <v>3995</v>
      </c>
      <c r="L291">
        <v>3605</v>
      </c>
      <c r="M291">
        <v>-9.76</v>
      </c>
      <c r="N291">
        <v>-0.14000000000000001</v>
      </c>
      <c r="O291">
        <v>-7.95</v>
      </c>
      <c r="P291">
        <v>-2.38</v>
      </c>
      <c r="Q291">
        <v>1.74</v>
      </c>
      <c r="R291">
        <v>-0.75</v>
      </c>
      <c r="S291">
        <v>-0.49</v>
      </c>
      <c r="T291">
        <v>0.73</v>
      </c>
      <c r="U291">
        <v>1.31</v>
      </c>
      <c r="V291">
        <v>1.08</v>
      </c>
      <c r="W291">
        <v>3.04</v>
      </c>
      <c r="X291">
        <v>0.65</v>
      </c>
      <c r="Y291">
        <v>0.62</v>
      </c>
      <c r="Z291">
        <v>0.19</v>
      </c>
      <c r="AA291">
        <v>6.07</v>
      </c>
      <c r="AB291">
        <v>2.2000000000000002</v>
      </c>
      <c r="AC291">
        <v>0.56999999999999995</v>
      </c>
      <c r="AD291">
        <v>1.1499999999999999</v>
      </c>
      <c r="AE291">
        <v>0.79</v>
      </c>
      <c r="AF291">
        <v>1.828333333333334</v>
      </c>
      <c r="AG291" t="str">
        <f>HYPERLINK("https://finance.naver.com/item/fchart.naver?code=002230", "피에스텍 차트보기")</f>
        <v>피에스텍 차트보기</v>
      </c>
    </row>
    <row r="292" spans="1:33" x14ac:dyDescent="0.3">
      <c r="A292" t="s">
        <v>1195</v>
      </c>
      <c r="B292" t="s">
        <v>34</v>
      </c>
      <c r="C292" t="s">
        <v>1196</v>
      </c>
      <c r="D292">
        <v>9420.19</v>
      </c>
      <c r="E292" t="s">
        <v>1197</v>
      </c>
      <c r="F292">
        <v>0</v>
      </c>
      <c r="G292">
        <v>1.2100000381469731</v>
      </c>
      <c r="H292">
        <v>0</v>
      </c>
      <c r="I292">
        <v>0</v>
      </c>
      <c r="J292" t="s">
        <v>1198</v>
      </c>
      <c r="K292">
        <v>8060</v>
      </c>
      <c r="L292">
        <v>5910</v>
      </c>
      <c r="M292">
        <v>-26.67</v>
      </c>
      <c r="N292">
        <v>-0.34</v>
      </c>
      <c r="O292">
        <v>-0.17</v>
      </c>
      <c r="P292">
        <v>-4.32</v>
      </c>
      <c r="Q292">
        <v>3.67</v>
      </c>
      <c r="R292">
        <v>5.83</v>
      </c>
      <c r="S292">
        <v>-31.98</v>
      </c>
      <c r="T292">
        <v>0.77</v>
      </c>
      <c r="U292">
        <v>1.88</v>
      </c>
      <c r="V292">
        <v>2.11</v>
      </c>
      <c r="W292">
        <v>7.91</v>
      </c>
      <c r="X292">
        <v>4.8899999999999997</v>
      </c>
      <c r="Y292">
        <v>4.74</v>
      </c>
      <c r="Z292">
        <v>0.44</v>
      </c>
      <c r="AA292">
        <v>0.09</v>
      </c>
      <c r="AB292">
        <v>2.0499999999999998</v>
      </c>
      <c r="AC292">
        <v>0.46</v>
      </c>
      <c r="AD292">
        <v>1.19</v>
      </c>
      <c r="AE292">
        <v>6.75</v>
      </c>
      <c r="AF292">
        <v>1.83</v>
      </c>
      <c r="AG292" t="str">
        <f>HYPERLINK("https://finance.naver.com/item/fchart.naver?code=002420", "세기상사 차트보기")</f>
        <v>세기상사 차트보기</v>
      </c>
    </row>
    <row r="293" spans="1:33" x14ac:dyDescent="0.3">
      <c r="A293" t="s">
        <v>1199</v>
      </c>
      <c r="B293" t="s">
        <v>55</v>
      </c>
      <c r="C293" t="s">
        <v>1200</v>
      </c>
      <c r="D293">
        <v>571.80999999999995</v>
      </c>
      <c r="E293" t="s">
        <v>1201</v>
      </c>
      <c r="F293">
        <v>8.64</v>
      </c>
      <c r="G293">
        <v>0.46000000834465032</v>
      </c>
      <c r="H293">
        <v>1391</v>
      </c>
      <c r="I293">
        <v>4.1599998474121094</v>
      </c>
      <c r="J293" t="s">
        <v>1202</v>
      </c>
      <c r="K293">
        <v>12530</v>
      </c>
      <c r="L293">
        <v>12020</v>
      </c>
      <c r="M293">
        <v>-4.07</v>
      </c>
      <c r="N293">
        <v>-3.61</v>
      </c>
      <c r="O293">
        <v>-1.03</v>
      </c>
      <c r="P293">
        <v>-2.61</v>
      </c>
      <c r="Q293">
        <v>0.47</v>
      </c>
      <c r="R293">
        <v>-0.69</v>
      </c>
      <c r="S293">
        <v>1.81</v>
      </c>
      <c r="T293">
        <v>0.89</v>
      </c>
      <c r="U293">
        <v>0.73</v>
      </c>
      <c r="V293">
        <v>0.93</v>
      </c>
      <c r="W293">
        <v>0.99</v>
      </c>
      <c r="X293">
        <v>0.97</v>
      </c>
      <c r="Y293">
        <v>1.19</v>
      </c>
      <c r="Z293">
        <v>4.0599999999999996</v>
      </c>
      <c r="AA293">
        <v>1.41</v>
      </c>
      <c r="AB293">
        <v>2.81</v>
      </c>
      <c r="AC293">
        <v>0.47</v>
      </c>
      <c r="AD293">
        <v>0.71</v>
      </c>
      <c r="AE293">
        <v>1.52</v>
      </c>
      <c r="AF293">
        <v>1.83</v>
      </c>
      <c r="AG293" t="str">
        <f>HYPERLINK("https://finance.naver.com/item/fchart.naver?code=221980", "케이디켐 차트보기")</f>
        <v>케이디켐 차트보기</v>
      </c>
    </row>
    <row r="294" spans="1:33" x14ac:dyDescent="0.3">
      <c r="A294" t="s">
        <v>1203</v>
      </c>
      <c r="B294" t="s">
        <v>55</v>
      </c>
      <c r="C294" t="s">
        <v>1204</v>
      </c>
      <c r="D294">
        <v>30093.67</v>
      </c>
      <c r="E294" t="s">
        <v>1205</v>
      </c>
      <c r="F294">
        <v>8.4600000000000009</v>
      </c>
      <c r="G294">
        <v>0.68999999761581421</v>
      </c>
      <c r="H294">
        <v>2005</v>
      </c>
      <c r="I294">
        <v>5.3000001907348633</v>
      </c>
      <c r="J294" t="s">
        <v>1206</v>
      </c>
      <c r="K294">
        <v>16200</v>
      </c>
      <c r="L294">
        <v>16970</v>
      </c>
      <c r="M294">
        <v>4.75</v>
      </c>
      <c r="N294">
        <v>7.41</v>
      </c>
      <c r="O294">
        <v>-0.5</v>
      </c>
      <c r="P294">
        <v>-0.06</v>
      </c>
      <c r="Q294">
        <v>-1.98</v>
      </c>
      <c r="R294">
        <v>0.45</v>
      </c>
      <c r="S294">
        <v>-4.0599999999999996</v>
      </c>
      <c r="T294">
        <v>3.27</v>
      </c>
      <c r="U294">
        <v>0.47</v>
      </c>
      <c r="V294">
        <v>0.47</v>
      </c>
      <c r="W294">
        <v>1.49</v>
      </c>
      <c r="X294">
        <v>0.96</v>
      </c>
      <c r="Y294">
        <v>0.71</v>
      </c>
      <c r="Z294">
        <v>2.27</v>
      </c>
      <c r="AA294">
        <v>1.06</v>
      </c>
      <c r="AB294">
        <v>0.13</v>
      </c>
      <c r="AC294">
        <v>1.33</v>
      </c>
      <c r="AD294">
        <v>0.47</v>
      </c>
      <c r="AE294">
        <v>5.72</v>
      </c>
      <c r="AF294">
        <v>1.83</v>
      </c>
      <c r="AG294" t="str">
        <f>HYPERLINK("https://finance.naver.com/item/fchart.naver?code=038390", "레드캡투어 차트보기")</f>
        <v>레드캡투어 차트보기</v>
      </c>
    </row>
    <row r="295" spans="1:33" x14ac:dyDescent="0.3">
      <c r="A295" t="s">
        <v>1207</v>
      </c>
      <c r="B295" t="s">
        <v>55</v>
      </c>
      <c r="C295" t="s">
        <v>1208</v>
      </c>
      <c r="D295">
        <v>49644.29</v>
      </c>
      <c r="E295" t="s">
        <v>1209</v>
      </c>
      <c r="F295">
        <v>6.57</v>
      </c>
      <c r="G295">
        <v>0.74000000953674316</v>
      </c>
      <c r="H295">
        <v>1444</v>
      </c>
      <c r="I295">
        <v>2.6400001049041748</v>
      </c>
      <c r="J295" t="s">
        <v>1210</v>
      </c>
      <c r="K295">
        <v>12120</v>
      </c>
      <c r="L295">
        <v>9480</v>
      </c>
      <c r="M295">
        <v>-21.78</v>
      </c>
      <c r="N295">
        <v>-1.56</v>
      </c>
      <c r="O295">
        <v>-1.01</v>
      </c>
      <c r="P295">
        <v>-0.1</v>
      </c>
      <c r="Q295">
        <v>-8.09</v>
      </c>
      <c r="R295">
        <v>-5.97</v>
      </c>
      <c r="S295">
        <v>-5.81</v>
      </c>
      <c r="T295">
        <v>1.57</v>
      </c>
      <c r="U295">
        <v>1.39</v>
      </c>
      <c r="V295">
        <v>1.91</v>
      </c>
      <c r="W295">
        <v>4.41</v>
      </c>
      <c r="X295">
        <v>1.18</v>
      </c>
      <c r="Y295">
        <v>2.4900000000000002</v>
      </c>
      <c r="Z295">
        <v>0.99</v>
      </c>
      <c r="AA295">
        <v>0.73</v>
      </c>
      <c r="AB295">
        <v>0.05</v>
      </c>
      <c r="AC295">
        <v>1.83</v>
      </c>
      <c r="AD295">
        <v>5.0599999999999996</v>
      </c>
      <c r="AE295">
        <v>2.33</v>
      </c>
      <c r="AF295">
        <v>1.831666666666667</v>
      </c>
      <c r="AG295" t="str">
        <f>HYPERLINK("https://finance.naver.com/item/fchart.naver?code=250000", "보라티알 차트보기")</f>
        <v>보라티알 차트보기</v>
      </c>
    </row>
    <row r="296" spans="1:33" x14ac:dyDescent="0.3">
      <c r="A296" t="s">
        <v>1211</v>
      </c>
      <c r="B296" t="s">
        <v>34</v>
      </c>
      <c r="C296" t="s">
        <v>1212</v>
      </c>
      <c r="D296">
        <v>310760.86</v>
      </c>
      <c r="E296" t="s">
        <v>1213</v>
      </c>
      <c r="F296">
        <v>20.94</v>
      </c>
      <c r="G296">
        <v>8.6999998092651367</v>
      </c>
      <c r="H296">
        <v>2249</v>
      </c>
      <c r="I296">
        <v>0</v>
      </c>
      <c r="J296" t="s">
        <v>1214</v>
      </c>
      <c r="K296">
        <v>66800</v>
      </c>
      <c r="L296">
        <v>47100</v>
      </c>
      <c r="M296">
        <v>-29.49</v>
      </c>
      <c r="N296">
        <v>1.73</v>
      </c>
      <c r="O296">
        <v>0</v>
      </c>
      <c r="P296">
        <v>0.76</v>
      </c>
      <c r="Q296">
        <v>3.01</v>
      </c>
      <c r="R296">
        <v>-34.08</v>
      </c>
      <c r="S296">
        <v>9.32</v>
      </c>
      <c r="T296">
        <v>5.21</v>
      </c>
      <c r="U296">
        <v>2.4900000000000002</v>
      </c>
      <c r="V296">
        <v>3.89</v>
      </c>
      <c r="W296">
        <v>4.6100000000000003</v>
      </c>
      <c r="X296">
        <v>4.4000000000000004</v>
      </c>
      <c r="Y296">
        <v>4.51</v>
      </c>
      <c r="Z296">
        <v>0.33</v>
      </c>
      <c r="AA296">
        <v>0</v>
      </c>
      <c r="AB296">
        <v>0.2</v>
      </c>
      <c r="AC296">
        <v>0.65</v>
      </c>
      <c r="AD296">
        <v>7.75</v>
      </c>
      <c r="AE296">
        <v>2.0699999999999998</v>
      </c>
      <c r="AF296">
        <v>1.833333333333333</v>
      </c>
      <c r="AG296" t="str">
        <f>HYPERLINK("https://finance.naver.com/item/fchart.naver?code=278470", "에이피알 차트보기")</f>
        <v>에이피알 차트보기</v>
      </c>
    </row>
    <row r="297" spans="1:33" x14ac:dyDescent="0.3">
      <c r="A297" t="s">
        <v>1215</v>
      </c>
      <c r="B297" t="s">
        <v>34</v>
      </c>
      <c r="C297" t="s">
        <v>1216</v>
      </c>
      <c r="D297">
        <v>126639.62</v>
      </c>
      <c r="E297" t="s">
        <v>1217</v>
      </c>
      <c r="F297">
        <v>53.24</v>
      </c>
      <c r="G297">
        <v>1.190000057220459</v>
      </c>
      <c r="H297">
        <v>709</v>
      </c>
      <c r="I297">
        <v>2.8900001049041748</v>
      </c>
      <c r="J297" t="s">
        <v>1218</v>
      </c>
      <c r="K297">
        <v>40350</v>
      </c>
      <c r="L297">
        <v>37750</v>
      </c>
      <c r="M297">
        <v>-6.44</v>
      </c>
      <c r="N297">
        <v>-2.83</v>
      </c>
      <c r="O297">
        <v>-2.09</v>
      </c>
      <c r="P297">
        <v>0.84</v>
      </c>
      <c r="Q297">
        <v>-4.72</v>
      </c>
      <c r="R297">
        <v>7.54</v>
      </c>
      <c r="S297">
        <v>2.04</v>
      </c>
      <c r="T297">
        <v>1.59</v>
      </c>
      <c r="U297">
        <v>1.82</v>
      </c>
      <c r="V297">
        <v>2.08</v>
      </c>
      <c r="W297">
        <v>3.02</v>
      </c>
      <c r="X297">
        <v>1.68</v>
      </c>
      <c r="Y297">
        <v>1.25</v>
      </c>
      <c r="Z297">
        <v>1.78</v>
      </c>
      <c r="AA297">
        <v>1.1499999999999999</v>
      </c>
      <c r="AB297">
        <v>0.4</v>
      </c>
      <c r="AC297">
        <v>1.56</v>
      </c>
      <c r="AD297">
        <v>4.49</v>
      </c>
      <c r="AE297">
        <v>1.63</v>
      </c>
      <c r="AF297">
        <v>1.835</v>
      </c>
      <c r="AG297" t="str">
        <f>HYPERLINK("https://finance.naver.com/item/fchart.naver?code=081660", "휠라홀딩스 차트보기")</f>
        <v>휠라홀딩스 차트보기</v>
      </c>
    </row>
    <row r="298" spans="1:33" x14ac:dyDescent="0.3">
      <c r="A298" t="s">
        <v>1219</v>
      </c>
      <c r="B298" t="s">
        <v>55</v>
      </c>
      <c r="C298" t="s">
        <v>1220</v>
      </c>
      <c r="D298">
        <v>1211134</v>
      </c>
      <c r="E298" t="s">
        <v>1221</v>
      </c>
      <c r="F298">
        <v>60.54</v>
      </c>
      <c r="G298">
        <v>17.090000152587891</v>
      </c>
      <c r="H298">
        <v>631</v>
      </c>
      <c r="I298">
        <v>0</v>
      </c>
      <c r="J298" t="s">
        <v>1222</v>
      </c>
      <c r="K298">
        <v>28900</v>
      </c>
      <c r="L298">
        <v>38200</v>
      </c>
      <c r="M298">
        <v>32.18</v>
      </c>
      <c r="N298">
        <v>3.95</v>
      </c>
      <c r="O298">
        <v>-9.91</v>
      </c>
      <c r="P298">
        <v>12.82</v>
      </c>
      <c r="Q298">
        <v>-16.09</v>
      </c>
      <c r="R298">
        <v>2.4300000000000002</v>
      </c>
      <c r="S298">
        <v>9.0500000000000007</v>
      </c>
      <c r="T298">
        <v>5.89</v>
      </c>
      <c r="U298">
        <v>3.9</v>
      </c>
      <c r="V298">
        <v>4.2</v>
      </c>
      <c r="W298">
        <v>6.63</v>
      </c>
      <c r="X298">
        <v>5.39</v>
      </c>
      <c r="Y298">
        <v>4.83</v>
      </c>
      <c r="Z298">
        <v>0.67</v>
      </c>
      <c r="AA298">
        <v>2.54</v>
      </c>
      <c r="AB298">
        <v>3.05</v>
      </c>
      <c r="AC298">
        <v>2.4300000000000002</v>
      </c>
      <c r="AD298">
        <v>0.45</v>
      </c>
      <c r="AE298">
        <v>1.87</v>
      </c>
      <c r="AF298">
        <v>1.835</v>
      </c>
      <c r="AG298" t="str">
        <f>HYPERLINK("https://finance.naver.com/item/fchart.naver?code=257720", "실리콘투 차트보기")</f>
        <v>실리콘투 차트보기</v>
      </c>
    </row>
    <row r="299" spans="1:33" x14ac:dyDescent="0.3">
      <c r="A299" t="s">
        <v>1223</v>
      </c>
      <c r="B299" t="s">
        <v>55</v>
      </c>
      <c r="C299" t="s">
        <v>1224</v>
      </c>
      <c r="D299">
        <v>30211.57</v>
      </c>
      <c r="E299" t="s">
        <v>1225</v>
      </c>
      <c r="F299">
        <v>28</v>
      </c>
      <c r="G299">
        <v>1.929999947547913</v>
      </c>
      <c r="H299">
        <v>210</v>
      </c>
      <c r="I299">
        <v>0</v>
      </c>
      <c r="J299" t="s">
        <v>1226</v>
      </c>
      <c r="K299">
        <v>6830</v>
      </c>
      <c r="L299">
        <v>5880</v>
      </c>
      <c r="M299">
        <v>-13.91</v>
      </c>
      <c r="N299">
        <v>-1.84</v>
      </c>
      <c r="O299">
        <v>2.95</v>
      </c>
      <c r="P299">
        <v>3.02</v>
      </c>
      <c r="Q299">
        <v>-1.87</v>
      </c>
      <c r="R299">
        <v>-11.45</v>
      </c>
      <c r="S299">
        <v>-0.78</v>
      </c>
      <c r="T299">
        <v>1.01</v>
      </c>
      <c r="U299">
        <v>2.27</v>
      </c>
      <c r="V299">
        <v>1.91</v>
      </c>
      <c r="W299">
        <v>4.4400000000000004</v>
      </c>
      <c r="X299">
        <v>2.0499999999999998</v>
      </c>
      <c r="Y299">
        <v>2.59</v>
      </c>
      <c r="Z299">
        <v>1.82</v>
      </c>
      <c r="AA299">
        <v>1.3</v>
      </c>
      <c r="AB299">
        <v>1.58</v>
      </c>
      <c r="AC299">
        <v>0.42</v>
      </c>
      <c r="AD299">
        <v>5.59</v>
      </c>
      <c r="AE299">
        <v>0.3</v>
      </c>
      <c r="AF299">
        <v>1.835</v>
      </c>
      <c r="AG299" t="str">
        <f>HYPERLINK("https://finance.naver.com/item/fchart.naver?code=256940", "케이피에스 차트보기")</f>
        <v>케이피에스 차트보기</v>
      </c>
    </row>
    <row r="300" spans="1:33" x14ac:dyDescent="0.3">
      <c r="A300" t="s">
        <v>1227</v>
      </c>
      <c r="B300" t="s">
        <v>34</v>
      </c>
      <c r="C300" t="s">
        <v>1228</v>
      </c>
      <c r="D300">
        <v>103114.86</v>
      </c>
      <c r="E300" t="s">
        <v>1229</v>
      </c>
      <c r="F300">
        <v>20.010000000000002</v>
      </c>
      <c r="G300">
        <v>1.309999942779541</v>
      </c>
      <c r="H300">
        <v>10446</v>
      </c>
      <c r="I300">
        <v>1.5</v>
      </c>
      <c r="J300" t="s">
        <v>1230</v>
      </c>
      <c r="K300">
        <v>215500</v>
      </c>
      <c r="L300">
        <v>209000</v>
      </c>
      <c r="M300">
        <v>-3.02</v>
      </c>
      <c r="N300">
        <v>-3.69</v>
      </c>
      <c r="O300">
        <v>9.3000000000000007</v>
      </c>
      <c r="P300">
        <v>-0.62</v>
      </c>
      <c r="Q300">
        <v>5.69</v>
      </c>
      <c r="R300">
        <v>-4.78</v>
      </c>
      <c r="S300">
        <v>-7.51</v>
      </c>
      <c r="T300">
        <v>2.0499999999999998</v>
      </c>
      <c r="U300">
        <v>3.72</v>
      </c>
      <c r="V300">
        <v>3.06</v>
      </c>
      <c r="W300">
        <v>3.25</v>
      </c>
      <c r="X300">
        <v>2.04</v>
      </c>
      <c r="Y300">
        <v>3.09</v>
      </c>
      <c r="Z300">
        <v>1.8</v>
      </c>
      <c r="AA300">
        <v>2.5</v>
      </c>
      <c r="AB300">
        <v>0.2</v>
      </c>
      <c r="AC300">
        <v>1.75</v>
      </c>
      <c r="AD300">
        <v>2.34</v>
      </c>
      <c r="AE300">
        <v>2.4300000000000002</v>
      </c>
      <c r="AF300">
        <v>1.8366666666666669</v>
      </c>
      <c r="AG300" t="str">
        <f>HYPERLINK("https://finance.naver.com/item/fchart.naver?code=036570", "엔씨소프트 차트보기")</f>
        <v>엔씨소프트 차트보기</v>
      </c>
    </row>
    <row r="301" spans="1:33" x14ac:dyDescent="0.3">
      <c r="A301" t="s">
        <v>1231</v>
      </c>
      <c r="B301" t="s">
        <v>55</v>
      </c>
      <c r="C301" t="s">
        <v>1232</v>
      </c>
      <c r="D301">
        <v>25248.33</v>
      </c>
      <c r="E301" t="s">
        <v>1233</v>
      </c>
      <c r="F301">
        <v>11.77</v>
      </c>
      <c r="G301">
        <v>1.950000047683716</v>
      </c>
      <c r="H301">
        <v>1354</v>
      </c>
      <c r="I301">
        <v>0</v>
      </c>
      <c r="J301" t="s">
        <v>1234</v>
      </c>
      <c r="K301">
        <v>19090</v>
      </c>
      <c r="L301">
        <v>15940</v>
      </c>
      <c r="M301">
        <v>-16.5</v>
      </c>
      <c r="N301">
        <v>0.38</v>
      </c>
      <c r="O301">
        <v>-4.33</v>
      </c>
      <c r="P301">
        <v>4.43</v>
      </c>
      <c r="Q301">
        <v>-15.72</v>
      </c>
      <c r="R301">
        <v>-3.87</v>
      </c>
      <c r="S301">
        <v>4.63</v>
      </c>
      <c r="T301">
        <v>2.36</v>
      </c>
      <c r="U301">
        <v>1.7</v>
      </c>
      <c r="V301">
        <v>3.17</v>
      </c>
      <c r="W301">
        <v>4.16</v>
      </c>
      <c r="X301">
        <v>2.14</v>
      </c>
      <c r="Y301">
        <v>3.42</v>
      </c>
      <c r="Z301">
        <v>0.16</v>
      </c>
      <c r="AA301">
        <v>2.5499999999999998</v>
      </c>
      <c r="AB301">
        <v>1.4</v>
      </c>
      <c r="AC301">
        <v>3.78</v>
      </c>
      <c r="AD301">
        <v>1.81</v>
      </c>
      <c r="AE301">
        <v>1.35</v>
      </c>
      <c r="AF301">
        <v>1.841666666666667</v>
      </c>
      <c r="AG301" t="str">
        <f>HYPERLINK("https://finance.naver.com/item/fchart.naver?code=272110", "케이엔제이 차트보기")</f>
        <v>케이엔제이 차트보기</v>
      </c>
    </row>
    <row r="302" spans="1:33" x14ac:dyDescent="0.3">
      <c r="A302" t="s">
        <v>1235</v>
      </c>
      <c r="B302" t="s">
        <v>34</v>
      </c>
      <c r="C302" t="s">
        <v>1236</v>
      </c>
      <c r="D302">
        <v>172322.38</v>
      </c>
      <c r="E302" t="s">
        <v>1237</v>
      </c>
      <c r="F302">
        <v>16.52</v>
      </c>
      <c r="G302">
        <v>0.76999998092651367</v>
      </c>
      <c r="H302">
        <v>549</v>
      </c>
      <c r="I302">
        <v>2.7599999904632568</v>
      </c>
      <c r="J302" t="s">
        <v>1238</v>
      </c>
      <c r="K302">
        <v>9070</v>
      </c>
      <c r="L302">
        <v>9070</v>
      </c>
      <c r="M302">
        <v>0</v>
      </c>
      <c r="N302">
        <v>-1.41</v>
      </c>
      <c r="O302">
        <v>-6.73</v>
      </c>
      <c r="P302">
        <v>6</v>
      </c>
      <c r="Q302">
        <v>-6.87</v>
      </c>
      <c r="R302">
        <v>6.14</v>
      </c>
      <c r="S302">
        <v>-11.56</v>
      </c>
      <c r="T302">
        <v>1.37</v>
      </c>
      <c r="U302">
        <v>2.08</v>
      </c>
      <c r="V302">
        <v>3.16</v>
      </c>
      <c r="W302">
        <v>4.41</v>
      </c>
      <c r="X302">
        <v>3.12</v>
      </c>
      <c r="Y302">
        <v>8.5399999999999991</v>
      </c>
      <c r="Z302">
        <v>1.03</v>
      </c>
      <c r="AA302">
        <v>3.24</v>
      </c>
      <c r="AB302">
        <v>1.9</v>
      </c>
      <c r="AC302">
        <v>1.56</v>
      </c>
      <c r="AD302">
        <v>1.97</v>
      </c>
      <c r="AE302">
        <v>1.35</v>
      </c>
      <c r="AF302">
        <v>1.841666666666667</v>
      </c>
      <c r="AG302" t="str">
        <f>HYPERLINK("https://finance.naver.com/item/fchart.naver?code=117580", "대성에너지 차트보기")</f>
        <v>대성에너지 차트보기</v>
      </c>
    </row>
    <row r="303" spans="1:33" x14ac:dyDescent="0.3">
      <c r="A303" t="s">
        <v>1239</v>
      </c>
      <c r="B303" t="s">
        <v>55</v>
      </c>
      <c r="C303" t="s">
        <v>1240</v>
      </c>
      <c r="D303">
        <v>5155.67</v>
      </c>
      <c r="E303" t="s">
        <v>1241</v>
      </c>
      <c r="F303">
        <v>0</v>
      </c>
      <c r="G303">
        <v>0</v>
      </c>
      <c r="H303">
        <v>0</v>
      </c>
      <c r="I303">
        <v>0</v>
      </c>
      <c r="J303" t="s">
        <v>1242</v>
      </c>
      <c r="K303">
        <v>2100</v>
      </c>
      <c r="L303">
        <v>2115</v>
      </c>
      <c r="M303">
        <v>0.71</v>
      </c>
      <c r="N303">
        <v>0.48</v>
      </c>
      <c r="O303">
        <v>0.71</v>
      </c>
      <c r="P303">
        <v>-0.47</v>
      </c>
      <c r="Q303">
        <v>-1.1599999999999999</v>
      </c>
      <c r="R303">
        <v>-0.23</v>
      </c>
      <c r="S303">
        <v>3.36</v>
      </c>
      <c r="T303">
        <v>0.85</v>
      </c>
      <c r="U303">
        <v>0.63</v>
      </c>
      <c r="V303">
        <v>0.64</v>
      </c>
      <c r="W303">
        <v>0.53</v>
      </c>
      <c r="X303">
        <v>0.51</v>
      </c>
      <c r="Y303">
        <v>0.56000000000000005</v>
      </c>
      <c r="Z303">
        <v>0.56000000000000005</v>
      </c>
      <c r="AA303">
        <v>1.1299999999999999</v>
      </c>
      <c r="AB303">
        <v>0.73</v>
      </c>
      <c r="AC303">
        <v>2.19</v>
      </c>
      <c r="AD303">
        <v>0.45</v>
      </c>
      <c r="AE303">
        <v>6</v>
      </c>
      <c r="AF303">
        <v>1.843333333333333</v>
      </c>
      <c r="AG303" t="str">
        <f>HYPERLINK("https://finance.naver.com/item/fchart.naver?code=474660", "신한제12호스팩 차트보기")</f>
        <v>신한제12호스팩 차트보기</v>
      </c>
    </row>
    <row r="304" spans="1:33" x14ac:dyDescent="0.3">
      <c r="A304" t="s">
        <v>1243</v>
      </c>
      <c r="B304" t="s">
        <v>34</v>
      </c>
      <c r="C304" t="s">
        <v>1244</v>
      </c>
      <c r="D304">
        <v>9541064.8599999994</v>
      </c>
      <c r="E304" t="s">
        <v>1245</v>
      </c>
      <c r="F304">
        <v>240.23</v>
      </c>
      <c r="G304">
        <v>1.879999995231628</v>
      </c>
      <c r="H304">
        <v>87</v>
      </c>
      <c r="I304">
        <v>0</v>
      </c>
      <c r="J304" t="s">
        <v>1246</v>
      </c>
      <c r="K304">
        <v>18100</v>
      </c>
      <c r="L304">
        <v>20900</v>
      </c>
      <c r="M304">
        <v>15.47</v>
      </c>
      <c r="N304">
        <v>4.5999999999999996</v>
      </c>
      <c r="O304">
        <v>15.83</v>
      </c>
      <c r="P304">
        <v>0.11</v>
      </c>
      <c r="Q304">
        <v>-3.26</v>
      </c>
      <c r="R304">
        <v>-5.61</v>
      </c>
      <c r="S304">
        <v>-3.13</v>
      </c>
      <c r="T304">
        <v>1.82</v>
      </c>
      <c r="U304">
        <v>3.41</v>
      </c>
      <c r="V304">
        <v>2.83</v>
      </c>
      <c r="W304">
        <v>3.75</v>
      </c>
      <c r="X304">
        <v>2.92</v>
      </c>
      <c r="Y304">
        <v>2.89</v>
      </c>
      <c r="Z304">
        <v>2.5299999999999998</v>
      </c>
      <c r="AA304">
        <v>4.6399999999999997</v>
      </c>
      <c r="AB304">
        <v>0.04</v>
      </c>
      <c r="AC304">
        <v>0.87</v>
      </c>
      <c r="AD304">
        <v>1.92</v>
      </c>
      <c r="AE304">
        <v>1.08</v>
      </c>
      <c r="AF304">
        <v>1.8466666666666669</v>
      </c>
      <c r="AG304" t="str">
        <f>HYPERLINK("https://finance.naver.com/item/fchart.naver?code=034020", "두산에너빌리티 차트보기")</f>
        <v>두산에너빌리티 차트보기</v>
      </c>
    </row>
    <row r="305" spans="1:33" x14ac:dyDescent="0.3">
      <c r="A305" t="s">
        <v>1247</v>
      </c>
      <c r="B305" t="s">
        <v>55</v>
      </c>
      <c r="C305" t="s">
        <v>1248</v>
      </c>
      <c r="D305">
        <v>186301.71</v>
      </c>
      <c r="E305" t="s">
        <v>1249</v>
      </c>
      <c r="J305" t="s">
        <v>1250</v>
      </c>
      <c r="K305">
        <v>7620</v>
      </c>
      <c r="L305">
        <v>5860</v>
      </c>
      <c r="M305">
        <v>-23.1</v>
      </c>
      <c r="N305">
        <v>-4.25</v>
      </c>
      <c r="O305">
        <v>-2.56</v>
      </c>
      <c r="P305">
        <v>-6.2</v>
      </c>
      <c r="Q305">
        <v>2.5</v>
      </c>
      <c r="R305">
        <v>-1.1599999999999999</v>
      </c>
      <c r="S305">
        <v>-2.92</v>
      </c>
      <c r="T305">
        <v>1.22</v>
      </c>
      <c r="U305">
        <v>2.0699999999999998</v>
      </c>
      <c r="V305">
        <v>1.86</v>
      </c>
      <c r="W305">
        <v>9.34</v>
      </c>
      <c r="X305">
        <v>2.48</v>
      </c>
      <c r="Y305">
        <v>1.27</v>
      </c>
      <c r="Z305">
        <v>3.48</v>
      </c>
      <c r="AA305">
        <v>1.24</v>
      </c>
      <c r="AB305">
        <v>3.33</v>
      </c>
      <c r="AC305">
        <v>0.27</v>
      </c>
      <c r="AD305">
        <v>0.47</v>
      </c>
      <c r="AE305">
        <v>2.2999999999999998</v>
      </c>
      <c r="AF305">
        <v>1.8483333333333329</v>
      </c>
      <c r="AG305" t="str">
        <f>HYPERLINK("https://finance.naver.com/item/fchart.naver?code=950130", "엑세스바이오 차트보기")</f>
        <v>엑세스바이오 차트보기</v>
      </c>
    </row>
    <row r="306" spans="1:33" x14ac:dyDescent="0.3">
      <c r="A306" t="s">
        <v>1251</v>
      </c>
      <c r="B306" t="s">
        <v>34</v>
      </c>
      <c r="C306" t="s">
        <v>1252</v>
      </c>
      <c r="D306">
        <v>10538.86</v>
      </c>
      <c r="E306" t="s">
        <v>1253</v>
      </c>
      <c r="F306">
        <v>5.38</v>
      </c>
      <c r="G306">
        <v>0.33000001311302191</v>
      </c>
      <c r="H306">
        <v>2429</v>
      </c>
      <c r="I306">
        <v>3.8299999237060551</v>
      </c>
      <c r="J306" t="s">
        <v>1254</v>
      </c>
      <c r="K306">
        <v>12810</v>
      </c>
      <c r="L306">
        <v>13060</v>
      </c>
      <c r="M306">
        <v>1.95</v>
      </c>
      <c r="N306">
        <v>1.24</v>
      </c>
      <c r="O306">
        <v>-1.05</v>
      </c>
      <c r="P306">
        <v>0.53</v>
      </c>
      <c r="Q306">
        <v>-3.65</v>
      </c>
      <c r="R306">
        <v>4.2699999999999996</v>
      </c>
      <c r="S306">
        <v>3.15</v>
      </c>
      <c r="T306">
        <v>1.36</v>
      </c>
      <c r="U306">
        <v>0.82</v>
      </c>
      <c r="V306">
        <v>0.92</v>
      </c>
      <c r="W306">
        <v>2.23</v>
      </c>
      <c r="X306">
        <v>1.0900000000000001</v>
      </c>
      <c r="Y306">
        <v>1.1399999999999999</v>
      </c>
      <c r="Z306">
        <v>0.91</v>
      </c>
      <c r="AA306">
        <v>1.28</v>
      </c>
      <c r="AB306">
        <v>0.57999999999999996</v>
      </c>
      <c r="AC306">
        <v>1.64</v>
      </c>
      <c r="AD306">
        <v>3.92</v>
      </c>
      <c r="AE306">
        <v>2.76</v>
      </c>
      <c r="AF306">
        <v>1.8483333333333329</v>
      </c>
      <c r="AG306" t="str">
        <f>HYPERLINK("https://finance.naver.com/item/fchart.naver?code=000320", "노루홀딩스 차트보기")</f>
        <v>노루홀딩스 차트보기</v>
      </c>
    </row>
    <row r="307" spans="1:33" x14ac:dyDescent="0.3">
      <c r="A307" t="s">
        <v>1255</v>
      </c>
      <c r="B307" t="s">
        <v>55</v>
      </c>
      <c r="C307" t="s">
        <v>1256</v>
      </c>
      <c r="D307">
        <v>59587.24</v>
      </c>
      <c r="E307" t="s">
        <v>1257</v>
      </c>
      <c r="F307">
        <v>0</v>
      </c>
      <c r="G307">
        <v>0.76999998092651367</v>
      </c>
      <c r="H307">
        <v>0</v>
      </c>
      <c r="I307">
        <v>0.74000000953674316</v>
      </c>
      <c r="J307" t="s">
        <v>1258</v>
      </c>
      <c r="K307">
        <v>4280</v>
      </c>
      <c r="L307">
        <v>4060</v>
      </c>
      <c r="M307">
        <v>-5.14</v>
      </c>
      <c r="N307">
        <v>0.87</v>
      </c>
      <c r="O307">
        <v>-0.12</v>
      </c>
      <c r="P307">
        <v>-4.5</v>
      </c>
      <c r="Q307">
        <v>11.67</v>
      </c>
      <c r="R307">
        <v>-1.57</v>
      </c>
      <c r="S307">
        <v>-7.02</v>
      </c>
      <c r="T307">
        <v>2</v>
      </c>
      <c r="U307">
        <v>7.88</v>
      </c>
      <c r="V307">
        <v>2.69</v>
      </c>
      <c r="W307">
        <v>2.73</v>
      </c>
      <c r="X307">
        <v>1.39</v>
      </c>
      <c r="Y307">
        <v>1.96</v>
      </c>
      <c r="Z307">
        <v>0.43</v>
      </c>
      <c r="AA307">
        <v>0.02</v>
      </c>
      <c r="AB307">
        <v>1.67</v>
      </c>
      <c r="AC307">
        <v>4.2699999999999996</v>
      </c>
      <c r="AD307">
        <v>1.1299999999999999</v>
      </c>
      <c r="AE307">
        <v>3.58</v>
      </c>
      <c r="AF307">
        <v>1.85</v>
      </c>
      <c r="AG307" t="str">
        <f>HYPERLINK("https://finance.naver.com/item/fchart.naver?code=148250", "알엔투테크놀로지 차트보기")</f>
        <v>알엔투테크놀로지 차트보기</v>
      </c>
    </row>
    <row r="308" spans="1:33" x14ac:dyDescent="0.3">
      <c r="A308" t="s">
        <v>1259</v>
      </c>
      <c r="B308" t="s">
        <v>55</v>
      </c>
      <c r="C308" t="s">
        <v>1260</v>
      </c>
      <c r="D308">
        <v>2710501.48</v>
      </c>
      <c r="E308" t="s">
        <v>1261</v>
      </c>
      <c r="F308">
        <v>0</v>
      </c>
      <c r="G308">
        <v>2.3499999046325679</v>
      </c>
      <c r="H308">
        <v>0</v>
      </c>
      <c r="I308">
        <v>0</v>
      </c>
      <c r="J308" t="s">
        <v>1262</v>
      </c>
      <c r="K308">
        <v>4700</v>
      </c>
      <c r="L308">
        <v>4555</v>
      </c>
      <c r="M308">
        <v>-3.09</v>
      </c>
      <c r="N308">
        <v>-8.35</v>
      </c>
      <c r="O308">
        <v>2.88</v>
      </c>
      <c r="P308">
        <v>1.78</v>
      </c>
      <c r="Q308">
        <v>-4.68</v>
      </c>
      <c r="R308">
        <v>-2.08</v>
      </c>
      <c r="S308">
        <v>5.0999999999999996</v>
      </c>
      <c r="T308">
        <v>1.57</v>
      </c>
      <c r="U308">
        <v>2.98</v>
      </c>
      <c r="V308">
        <v>1.8</v>
      </c>
      <c r="W308">
        <v>3.55</v>
      </c>
      <c r="X308">
        <v>1.84</v>
      </c>
      <c r="Y308">
        <v>3.72</v>
      </c>
      <c r="Z308">
        <v>5.32</v>
      </c>
      <c r="AA308">
        <v>0.97</v>
      </c>
      <c r="AB308">
        <v>0.99</v>
      </c>
      <c r="AC308">
        <v>1.32</v>
      </c>
      <c r="AD308">
        <v>1.1299999999999999</v>
      </c>
      <c r="AE308">
        <v>1.37</v>
      </c>
      <c r="AF308">
        <v>1.85</v>
      </c>
      <c r="AG308" t="str">
        <f>HYPERLINK("https://finance.naver.com/item/fchart.naver?code=065450", "빅텍 차트보기")</f>
        <v>빅텍 차트보기</v>
      </c>
    </row>
    <row r="309" spans="1:33" x14ac:dyDescent="0.3">
      <c r="A309" t="s">
        <v>1263</v>
      </c>
      <c r="B309" t="s">
        <v>55</v>
      </c>
      <c r="C309" t="s">
        <v>1264</v>
      </c>
      <c r="D309">
        <v>703062.71</v>
      </c>
      <c r="E309" t="s">
        <v>1265</v>
      </c>
      <c r="F309">
        <v>0</v>
      </c>
      <c r="G309">
        <v>9.8999996185302734</v>
      </c>
      <c r="H309">
        <v>0</v>
      </c>
      <c r="I309">
        <v>0</v>
      </c>
      <c r="J309" t="s">
        <v>1266</v>
      </c>
      <c r="K309">
        <v>30900</v>
      </c>
      <c r="L309">
        <v>25650</v>
      </c>
      <c r="M309">
        <v>-16.989999999999998</v>
      </c>
      <c r="N309">
        <v>-6.73</v>
      </c>
      <c r="O309">
        <v>-16.64</v>
      </c>
      <c r="P309">
        <v>-15.98</v>
      </c>
      <c r="Q309">
        <v>1.21</v>
      </c>
      <c r="R309">
        <v>0.12</v>
      </c>
      <c r="S309">
        <v>0.67</v>
      </c>
      <c r="T309">
        <v>2.08</v>
      </c>
      <c r="U309">
        <v>5.42</v>
      </c>
      <c r="V309">
        <v>3.6</v>
      </c>
      <c r="W309">
        <v>5.76</v>
      </c>
      <c r="X309">
        <v>4.6100000000000003</v>
      </c>
      <c r="Y309">
        <v>5.69</v>
      </c>
      <c r="Z309">
        <v>3.24</v>
      </c>
      <c r="AA309">
        <v>3.07</v>
      </c>
      <c r="AB309">
        <v>4.4400000000000004</v>
      </c>
      <c r="AC309">
        <v>0.21</v>
      </c>
      <c r="AD309">
        <v>0.03</v>
      </c>
      <c r="AE309">
        <v>0.12</v>
      </c>
      <c r="AF309">
        <v>1.851666666666667</v>
      </c>
      <c r="AG309" t="str">
        <f>HYPERLINK("https://finance.naver.com/item/fchart.naver?code=039200", "오스코텍 차트보기")</f>
        <v>오스코텍 차트보기</v>
      </c>
    </row>
    <row r="310" spans="1:33" x14ac:dyDescent="0.3">
      <c r="A310" t="s">
        <v>1267</v>
      </c>
      <c r="B310" t="s">
        <v>34</v>
      </c>
      <c r="C310" t="s">
        <v>1268</v>
      </c>
      <c r="D310">
        <v>279492.62</v>
      </c>
      <c r="E310" t="s">
        <v>1269</v>
      </c>
      <c r="F310">
        <v>13.92</v>
      </c>
      <c r="G310">
        <v>0.95999997854232788</v>
      </c>
      <c r="H310">
        <v>589</v>
      </c>
      <c r="I310">
        <v>2.440000057220459</v>
      </c>
      <c r="J310" t="s">
        <v>1270</v>
      </c>
      <c r="K310">
        <v>8710</v>
      </c>
      <c r="L310">
        <v>8200</v>
      </c>
      <c r="M310">
        <v>-5.86</v>
      </c>
      <c r="N310">
        <v>5.67</v>
      </c>
      <c r="O310">
        <v>3.96</v>
      </c>
      <c r="P310">
        <v>-4.6500000000000004</v>
      </c>
      <c r="Q310">
        <v>-4.57</v>
      </c>
      <c r="R310">
        <v>-4.62</v>
      </c>
      <c r="S310">
        <v>-1.6</v>
      </c>
      <c r="T310">
        <v>1.26</v>
      </c>
      <c r="U310">
        <v>2.59</v>
      </c>
      <c r="V310">
        <v>2.5299999999999998</v>
      </c>
      <c r="W310">
        <v>3.69</v>
      </c>
      <c r="X310">
        <v>3.45</v>
      </c>
      <c r="Y310">
        <v>2.36</v>
      </c>
      <c r="Z310">
        <v>4.5</v>
      </c>
      <c r="AA310">
        <v>1.53</v>
      </c>
      <c r="AB310">
        <v>1.84</v>
      </c>
      <c r="AC310">
        <v>1.24</v>
      </c>
      <c r="AD310">
        <v>1.34</v>
      </c>
      <c r="AE310">
        <v>0.68</v>
      </c>
      <c r="AF310">
        <v>1.855</v>
      </c>
      <c r="AG310" t="str">
        <f>HYPERLINK("https://finance.naver.com/item/fchart.naver?code=105840", "우진 차트보기")</f>
        <v>우진 차트보기</v>
      </c>
    </row>
    <row r="311" spans="1:33" x14ac:dyDescent="0.3">
      <c r="A311" t="s">
        <v>1271</v>
      </c>
      <c r="B311" t="s">
        <v>55</v>
      </c>
      <c r="C311" t="s">
        <v>1272</v>
      </c>
      <c r="D311">
        <v>566030.52</v>
      </c>
      <c r="E311" t="s">
        <v>1273</v>
      </c>
      <c r="F311">
        <v>0</v>
      </c>
      <c r="G311">
        <v>8.1999998092651367</v>
      </c>
      <c r="H311">
        <v>0</v>
      </c>
      <c r="I311">
        <v>0</v>
      </c>
      <c r="J311" t="s">
        <v>1274</v>
      </c>
      <c r="K311">
        <v>15530</v>
      </c>
      <c r="L311">
        <v>21950</v>
      </c>
      <c r="M311">
        <v>41.34</v>
      </c>
      <c r="N311">
        <v>6.04</v>
      </c>
      <c r="O311">
        <v>-0.7</v>
      </c>
      <c r="P311">
        <v>-0.67</v>
      </c>
      <c r="Q311">
        <v>25.53</v>
      </c>
      <c r="R311">
        <v>-5.81</v>
      </c>
      <c r="S311">
        <v>25.1</v>
      </c>
      <c r="T311">
        <v>3.89</v>
      </c>
      <c r="U311">
        <v>3.08</v>
      </c>
      <c r="V311">
        <v>3.62</v>
      </c>
      <c r="W311">
        <v>6.18</v>
      </c>
      <c r="X311">
        <v>3.36</v>
      </c>
      <c r="Y311">
        <v>7.53</v>
      </c>
      <c r="Z311">
        <v>1.55</v>
      </c>
      <c r="AA311">
        <v>0.23</v>
      </c>
      <c r="AB311">
        <v>0.19</v>
      </c>
      <c r="AC311">
        <v>4.13</v>
      </c>
      <c r="AD311">
        <v>1.73</v>
      </c>
      <c r="AE311">
        <v>3.33</v>
      </c>
      <c r="AF311">
        <v>1.86</v>
      </c>
      <c r="AG311" t="str">
        <f>HYPERLINK("https://finance.naver.com/item/fchart.naver?code=397030", "에이프릴바이오 차트보기")</f>
        <v>에이프릴바이오 차트보기</v>
      </c>
    </row>
    <row r="312" spans="1:33" x14ac:dyDescent="0.3">
      <c r="A312" t="s">
        <v>1275</v>
      </c>
      <c r="B312" t="s">
        <v>34</v>
      </c>
      <c r="C312" t="s">
        <v>1276</v>
      </c>
      <c r="D312">
        <v>249.71</v>
      </c>
      <c r="E312" t="s">
        <v>1277</v>
      </c>
      <c r="F312">
        <v>0</v>
      </c>
      <c r="G312">
        <v>0</v>
      </c>
      <c r="H312">
        <v>0</v>
      </c>
      <c r="I312">
        <v>6.1700000762939453</v>
      </c>
      <c r="J312" t="s">
        <v>1278</v>
      </c>
      <c r="K312">
        <v>7100</v>
      </c>
      <c r="L312">
        <v>6560</v>
      </c>
      <c r="M312">
        <v>-7.61</v>
      </c>
      <c r="N312">
        <v>0.15</v>
      </c>
      <c r="O312">
        <v>3.58</v>
      </c>
      <c r="P312">
        <v>-4.74</v>
      </c>
      <c r="Q312">
        <v>-3.89</v>
      </c>
      <c r="R312">
        <v>-1.84</v>
      </c>
      <c r="S312">
        <v>-0.85</v>
      </c>
      <c r="T312">
        <v>1.62</v>
      </c>
      <c r="U312">
        <v>1.36</v>
      </c>
      <c r="V312">
        <v>1.42</v>
      </c>
      <c r="W312">
        <v>1.87</v>
      </c>
      <c r="X312">
        <v>1.1599999999999999</v>
      </c>
      <c r="Y312">
        <v>0.59</v>
      </c>
      <c r="Z312">
        <v>0.09</v>
      </c>
      <c r="AA312">
        <v>2.63</v>
      </c>
      <c r="AB312">
        <v>3.34</v>
      </c>
      <c r="AC312">
        <v>2.08</v>
      </c>
      <c r="AD312">
        <v>1.59</v>
      </c>
      <c r="AE312">
        <v>1.44</v>
      </c>
      <c r="AF312">
        <v>1.861666666666667</v>
      </c>
      <c r="AG312" t="str">
        <f>HYPERLINK("https://finance.naver.com/item/fchart.naver?code=00806K", "대덕1우 차트보기")</f>
        <v>대덕1우 차트보기</v>
      </c>
    </row>
    <row r="313" spans="1:33" x14ac:dyDescent="0.3">
      <c r="A313" t="s">
        <v>1279</v>
      </c>
      <c r="B313" t="s">
        <v>55</v>
      </c>
      <c r="C313" t="s">
        <v>1280</v>
      </c>
      <c r="D313">
        <v>13436.38</v>
      </c>
      <c r="E313" t="s">
        <v>1281</v>
      </c>
      <c r="F313">
        <v>0</v>
      </c>
      <c r="G313">
        <v>0.25999999046325678</v>
      </c>
      <c r="H313">
        <v>0</v>
      </c>
      <c r="I313">
        <v>0</v>
      </c>
      <c r="J313" t="s">
        <v>1282</v>
      </c>
      <c r="K313">
        <v>1195</v>
      </c>
      <c r="L313">
        <v>1070</v>
      </c>
      <c r="M313">
        <v>-10.46</v>
      </c>
      <c r="N313">
        <v>2.4900000000000002</v>
      </c>
      <c r="O313">
        <v>-3.43</v>
      </c>
      <c r="P313">
        <v>0.27</v>
      </c>
      <c r="Q313">
        <v>10.34</v>
      </c>
      <c r="R313">
        <v>-8.5500000000000007</v>
      </c>
      <c r="S313">
        <v>3.48</v>
      </c>
      <c r="T313">
        <v>3.03</v>
      </c>
      <c r="U313">
        <v>2.08</v>
      </c>
      <c r="V313">
        <v>2.5499999999999998</v>
      </c>
      <c r="W313">
        <v>2.65</v>
      </c>
      <c r="X313">
        <v>2.59</v>
      </c>
      <c r="Y313">
        <v>2.4700000000000002</v>
      </c>
      <c r="Z313">
        <v>0.82</v>
      </c>
      <c r="AA313">
        <v>1.65</v>
      </c>
      <c r="AB313">
        <v>0.11</v>
      </c>
      <c r="AC313">
        <v>3.9</v>
      </c>
      <c r="AD313">
        <v>3.3</v>
      </c>
      <c r="AE313">
        <v>1.41</v>
      </c>
      <c r="AF313">
        <v>1.865</v>
      </c>
      <c r="AG313" t="str">
        <f>HYPERLINK("https://finance.naver.com/item/fchart.naver?code=065690", "파커스 차트보기")</f>
        <v>파커스 차트보기</v>
      </c>
    </row>
    <row r="314" spans="1:33" x14ac:dyDescent="0.3">
      <c r="A314" t="s">
        <v>1283</v>
      </c>
      <c r="B314" t="s">
        <v>55</v>
      </c>
      <c r="C314" t="s">
        <v>1284</v>
      </c>
      <c r="D314">
        <v>12087.43</v>
      </c>
      <c r="E314" t="s">
        <v>1285</v>
      </c>
      <c r="F314">
        <v>0</v>
      </c>
      <c r="G314">
        <v>0.4699999988079071</v>
      </c>
      <c r="H314">
        <v>0</v>
      </c>
      <c r="I314">
        <v>0</v>
      </c>
      <c r="J314" t="s">
        <v>1286</v>
      </c>
      <c r="K314">
        <v>2740</v>
      </c>
      <c r="L314">
        <v>2450</v>
      </c>
      <c r="M314">
        <v>-10.58</v>
      </c>
      <c r="N314">
        <v>-2.2000000000000002</v>
      </c>
      <c r="O314">
        <v>-1.4</v>
      </c>
      <c r="P314">
        <v>-2.5299999999999998</v>
      </c>
      <c r="Q314">
        <v>-4.5599999999999996</v>
      </c>
      <c r="R314">
        <v>0.55000000000000004</v>
      </c>
      <c r="S314">
        <v>-15.84</v>
      </c>
      <c r="T314">
        <v>1.95</v>
      </c>
      <c r="U314">
        <v>2</v>
      </c>
      <c r="V314">
        <v>2.62</v>
      </c>
      <c r="W314">
        <v>4.82</v>
      </c>
      <c r="X314">
        <v>2.2999999999999998</v>
      </c>
      <c r="Y314">
        <v>2.19</v>
      </c>
      <c r="Z314">
        <v>1.1299999999999999</v>
      </c>
      <c r="AA314">
        <v>0.7</v>
      </c>
      <c r="AB314">
        <v>0.97</v>
      </c>
      <c r="AC314">
        <v>0.95</v>
      </c>
      <c r="AD314">
        <v>0.24</v>
      </c>
      <c r="AE314">
        <v>7.23</v>
      </c>
      <c r="AF314">
        <v>1.87</v>
      </c>
      <c r="AG314" t="str">
        <f>HYPERLINK("https://finance.naver.com/item/fchart.naver?code=067770", "세진티에스 차트보기")</f>
        <v>세진티에스 차트보기</v>
      </c>
    </row>
    <row r="315" spans="1:33" x14ac:dyDescent="0.3">
      <c r="A315" t="s">
        <v>1287</v>
      </c>
      <c r="B315" t="s">
        <v>55</v>
      </c>
      <c r="C315" t="s">
        <v>1288</v>
      </c>
      <c r="D315">
        <v>10672.62</v>
      </c>
      <c r="E315" t="s">
        <v>1289</v>
      </c>
      <c r="F315">
        <v>0</v>
      </c>
      <c r="G315">
        <v>0.43999999761581421</v>
      </c>
      <c r="H315">
        <v>0</v>
      </c>
      <c r="I315">
        <v>0</v>
      </c>
      <c r="J315" t="s">
        <v>1290</v>
      </c>
      <c r="K315">
        <v>5640</v>
      </c>
      <c r="L315">
        <v>4415</v>
      </c>
      <c r="M315">
        <v>-21.72</v>
      </c>
      <c r="N315">
        <v>-3.07</v>
      </c>
      <c r="O315">
        <v>-12.07</v>
      </c>
      <c r="P315">
        <v>5.6</v>
      </c>
      <c r="Q315">
        <v>-3.61</v>
      </c>
      <c r="R315">
        <v>-4.4000000000000004</v>
      </c>
      <c r="S315">
        <v>-1.64</v>
      </c>
      <c r="T315">
        <v>3.67</v>
      </c>
      <c r="U315">
        <v>2.39</v>
      </c>
      <c r="V315">
        <v>5.95</v>
      </c>
      <c r="W315">
        <v>2.57</v>
      </c>
      <c r="X315">
        <v>1.84</v>
      </c>
      <c r="Y315">
        <v>2.67</v>
      </c>
      <c r="Z315">
        <v>0.84</v>
      </c>
      <c r="AA315">
        <v>5.05</v>
      </c>
      <c r="AB315">
        <v>0.94</v>
      </c>
      <c r="AC315">
        <v>1.4</v>
      </c>
      <c r="AD315">
        <v>2.39</v>
      </c>
      <c r="AE315">
        <v>0.61</v>
      </c>
      <c r="AF315">
        <v>1.871666666666667</v>
      </c>
      <c r="AG315" t="str">
        <f>HYPERLINK("https://finance.naver.com/item/fchart.naver?code=224060", "더코디 차트보기")</f>
        <v>더코디 차트보기</v>
      </c>
    </row>
    <row r="316" spans="1:33" x14ac:dyDescent="0.3">
      <c r="A316" t="s">
        <v>1291</v>
      </c>
      <c r="B316" t="s">
        <v>34</v>
      </c>
      <c r="C316" t="s">
        <v>1292</v>
      </c>
      <c r="D316">
        <v>149511.71</v>
      </c>
      <c r="E316" t="s">
        <v>1293</v>
      </c>
      <c r="F316">
        <v>77.739999999999995</v>
      </c>
      <c r="G316">
        <v>1.120000004768372</v>
      </c>
      <c r="H316">
        <v>195</v>
      </c>
      <c r="I316">
        <v>0.99000000953674316</v>
      </c>
      <c r="J316" t="s">
        <v>1294</v>
      </c>
      <c r="K316">
        <v>14860</v>
      </c>
      <c r="L316">
        <v>15160</v>
      </c>
      <c r="M316">
        <v>2.02</v>
      </c>
      <c r="N316">
        <v>-3.01</v>
      </c>
      <c r="O316">
        <v>19.88</v>
      </c>
      <c r="P316">
        <v>2.06</v>
      </c>
      <c r="Q316">
        <v>-2.92</v>
      </c>
      <c r="R316">
        <v>2.11</v>
      </c>
      <c r="S316">
        <v>-3.26</v>
      </c>
      <c r="T316">
        <v>3.47</v>
      </c>
      <c r="U316">
        <v>3.03</v>
      </c>
      <c r="V316">
        <v>2.09</v>
      </c>
      <c r="W316">
        <v>3.75</v>
      </c>
      <c r="X316">
        <v>1.91</v>
      </c>
      <c r="Y316">
        <v>3.45</v>
      </c>
      <c r="Z316">
        <v>0.87</v>
      </c>
      <c r="AA316">
        <v>6.56</v>
      </c>
      <c r="AB316">
        <v>0.99</v>
      </c>
      <c r="AC316">
        <v>0.78</v>
      </c>
      <c r="AD316">
        <v>1.1000000000000001</v>
      </c>
      <c r="AE316">
        <v>0.94</v>
      </c>
      <c r="AF316">
        <v>1.8733333333333331</v>
      </c>
      <c r="AG316" t="str">
        <f>HYPERLINK("https://finance.naver.com/item/fchart.naver?code=102460", "이연제약 차트보기")</f>
        <v>이연제약 차트보기</v>
      </c>
    </row>
    <row r="317" spans="1:33" x14ac:dyDescent="0.3">
      <c r="A317" t="s">
        <v>1295</v>
      </c>
      <c r="B317" t="s">
        <v>55</v>
      </c>
      <c r="C317" t="s">
        <v>1296</v>
      </c>
      <c r="D317">
        <v>223754.95</v>
      </c>
      <c r="E317" t="s">
        <v>1297</v>
      </c>
      <c r="F317">
        <v>0</v>
      </c>
      <c r="G317">
        <v>1.5900000333786011</v>
      </c>
      <c r="H317">
        <v>0</v>
      </c>
      <c r="I317">
        <v>0.41999998688697809</v>
      </c>
      <c r="J317" t="s">
        <v>1298</v>
      </c>
      <c r="K317">
        <v>31800</v>
      </c>
      <c r="L317">
        <v>23700</v>
      </c>
      <c r="M317">
        <v>-25.47</v>
      </c>
      <c r="N317">
        <v>-7.06</v>
      </c>
      <c r="O317">
        <v>-11.74</v>
      </c>
      <c r="P317">
        <v>10.199999999999999</v>
      </c>
      <c r="Q317">
        <v>-14.41</v>
      </c>
      <c r="R317">
        <v>2.0499999999999998</v>
      </c>
      <c r="S317">
        <v>-5.87</v>
      </c>
      <c r="T317">
        <v>4.3899999999999997</v>
      </c>
      <c r="U317">
        <v>3.92</v>
      </c>
      <c r="V317">
        <v>4.18</v>
      </c>
      <c r="W317">
        <v>5.0199999999999996</v>
      </c>
      <c r="X317">
        <v>4.1399999999999997</v>
      </c>
      <c r="Y317">
        <v>7.09</v>
      </c>
      <c r="Z317">
        <v>1.61</v>
      </c>
      <c r="AA317">
        <v>2.99</v>
      </c>
      <c r="AB317">
        <v>2.44</v>
      </c>
      <c r="AC317">
        <v>2.87</v>
      </c>
      <c r="AD317">
        <v>0.5</v>
      </c>
      <c r="AE317">
        <v>0.83</v>
      </c>
      <c r="AF317">
        <v>1.8733333333333331</v>
      </c>
      <c r="AG317" t="str">
        <f>HYPERLINK("https://finance.naver.com/item/fchart.naver?code=091120", "이엠텍 차트보기")</f>
        <v>이엠텍 차트보기</v>
      </c>
    </row>
    <row r="318" spans="1:33" x14ac:dyDescent="0.3">
      <c r="A318" t="s">
        <v>1299</v>
      </c>
      <c r="B318" t="s">
        <v>34</v>
      </c>
      <c r="C318" t="s">
        <v>1300</v>
      </c>
      <c r="D318">
        <v>413.95</v>
      </c>
      <c r="E318" t="s">
        <v>1301</v>
      </c>
      <c r="F318">
        <v>0</v>
      </c>
      <c r="G318">
        <v>0</v>
      </c>
      <c r="H318">
        <v>0</v>
      </c>
      <c r="I318">
        <v>5.7699999809265137</v>
      </c>
      <c r="J318" t="s">
        <v>1302</v>
      </c>
      <c r="K318">
        <v>29550</v>
      </c>
      <c r="L318">
        <v>31200</v>
      </c>
      <c r="M318">
        <v>5.58</v>
      </c>
      <c r="N318">
        <v>0.97</v>
      </c>
      <c r="O318">
        <v>1.1499999999999999</v>
      </c>
      <c r="P318">
        <v>1.49</v>
      </c>
      <c r="Q318">
        <v>-0.17</v>
      </c>
      <c r="R318">
        <v>-0.33</v>
      </c>
      <c r="S318">
        <v>1.68</v>
      </c>
      <c r="T318">
        <v>0.3</v>
      </c>
      <c r="U318">
        <v>0.35</v>
      </c>
      <c r="V318">
        <v>0.54</v>
      </c>
      <c r="W318">
        <v>1.75</v>
      </c>
      <c r="X318">
        <v>0.36</v>
      </c>
      <c r="Y318">
        <v>1.77</v>
      </c>
      <c r="Z318">
        <v>3.23</v>
      </c>
      <c r="AA318">
        <v>3.29</v>
      </c>
      <c r="AB318">
        <v>2.76</v>
      </c>
      <c r="AC318">
        <v>0.1</v>
      </c>
      <c r="AD318">
        <v>0.92</v>
      </c>
      <c r="AE318">
        <v>0.95</v>
      </c>
      <c r="AF318">
        <v>1.875</v>
      </c>
      <c r="AG318" t="str">
        <f>HYPERLINK("https://finance.naver.com/item/fchart.naver?code=145995", "삼양사우 차트보기")</f>
        <v>삼양사우 차트보기</v>
      </c>
    </row>
    <row r="319" spans="1:33" x14ac:dyDescent="0.3">
      <c r="A319" t="s">
        <v>1303</v>
      </c>
      <c r="B319" t="s">
        <v>55</v>
      </c>
      <c r="C319" t="s">
        <v>1304</v>
      </c>
      <c r="D319">
        <v>11988.76</v>
      </c>
      <c r="E319" t="s">
        <v>1305</v>
      </c>
      <c r="F319">
        <v>10</v>
      </c>
      <c r="G319">
        <v>0.93999999761581421</v>
      </c>
      <c r="H319">
        <v>667</v>
      </c>
      <c r="I319">
        <v>3.75</v>
      </c>
      <c r="J319" t="s">
        <v>1306</v>
      </c>
      <c r="K319">
        <v>7190</v>
      </c>
      <c r="L319">
        <v>6670</v>
      </c>
      <c r="M319">
        <v>-7.23</v>
      </c>
      <c r="N319">
        <v>-0.89</v>
      </c>
      <c r="O319">
        <v>0.3</v>
      </c>
      <c r="P319">
        <v>-4.1399999999999997</v>
      </c>
      <c r="Q319">
        <v>0.14000000000000001</v>
      </c>
      <c r="R319">
        <v>-1.1200000000000001</v>
      </c>
      <c r="S319">
        <v>2.58</v>
      </c>
      <c r="T319">
        <v>0.56000000000000005</v>
      </c>
      <c r="U319">
        <v>1.56</v>
      </c>
      <c r="V319">
        <v>0.92</v>
      </c>
      <c r="W319">
        <v>2.14</v>
      </c>
      <c r="X319">
        <v>0.44</v>
      </c>
      <c r="Y319">
        <v>1.1000000000000001</v>
      </c>
      <c r="Z319">
        <v>1.59</v>
      </c>
      <c r="AA319">
        <v>0.19</v>
      </c>
      <c r="AB319">
        <v>4.5</v>
      </c>
      <c r="AC319">
        <v>7.0000000000000007E-2</v>
      </c>
      <c r="AD319">
        <v>2.5499999999999998</v>
      </c>
      <c r="AE319">
        <v>2.35</v>
      </c>
      <c r="AF319">
        <v>1.875</v>
      </c>
      <c r="AG319" t="str">
        <f>HYPERLINK("https://finance.naver.com/item/fchart.naver?code=256150", "한독크린텍 차트보기")</f>
        <v>한독크린텍 차트보기</v>
      </c>
    </row>
    <row r="320" spans="1:33" x14ac:dyDescent="0.3">
      <c r="A320" t="s">
        <v>1307</v>
      </c>
      <c r="B320" t="s">
        <v>55</v>
      </c>
      <c r="C320" t="s">
        <v>1308</v>
      </c>
      <c r="D320">
        <v>5524.62</v>
      </c>
      <c r="E320" t="s">
        <v>1309</v>
      </c>
      <c r="F320">
        <v>4.16</v>
      </c>
      <c r="G320">
        <v>0.52999997138977051</v>
      </c>
      <c r="H320">
        <v>4084</v>
      </c>
      <c r="I320">
        <v>2.3499999046325679</v>
      </c>
      <c r="J320" t="s">
        <v>1310</v>
      </c>
      <c r="K320">
        <v>15290</v>
      </c>
      <c r="L320">
        <v>17000</v>
      </c>
      <c r="M320">
        <v>11.18</v>
      </c>
      <c r="N320">
        <v>5.99</v>
      </c>
      <c r="O320">
        <v>1.39</v>
      </c>
      <c r="P320">
        <v>-0.3</v>
      </c>
      <c r="Q320">
        <v>5.03</v>
      </c>
      <c r="R320">
        <v>3.08</v>
      </c>
      <c r="S320">
        <v>-3.45</v>
      </c>
      <c r="T320">
        <v>2.52</v>
      </c>
      <c r="U320">
        <v>1.82</v>
      </c>
      <c r="V320">
        <v>1.53</v>
      </c>
      <c r="W320">
        <v>2.41</v>
      </c>
      <c r="X320">
        <v>0.88</v>
      </c>
      <c r="Y320">
        <v>1.48</v>
      </c>
      <c r="Z320">
        <v>2.38</v>
      </c>
      <c r="AA320">
        <v>0.76</v>
      </c>
      <c r="AB320">
        <v>0.2</v>
      </c>
      <c r="AC320">
        <v>2.09</v>
      </c>
      <c r="AD320">
        <v>3.5</v>
      </c>
      <c r="AE320">
        <v>2.33</v>
      </c>
      <c r="AF320">
        <v>1.8766666666666669</v>
      </c>
      <c r="AG320" t="str">
        <f>HYPERLINK("https://finance.naver.com/item/fchart.naver?code=066620", "국보디자인 차트보기")</f>
        <v>국보디자인 차트보기</v>
      </c>
    </row>
    <row r="321" spans="1:33" x14ac:dyDescent="0.3">
      <c r="A321" t="s">
        <v>1311</v>
      </c>
      <c r="B321" t="s">
        <v>55</v>
      </c>
      <c r="C321" t="s">
        <v>1312</v>
      </c>
      <c r="D321">
        <v>23072.57</v>
      </c>
      <c r="E321" t="s">
        <v>1313</v>
      </c>
      <c r="F321">
        <v>2.2799999999999998</v>
      </c>
      <c r="G321">
        <v>0.61000001430511475</v>
      </c>
      <c r="H321">
        <v>1714</v>
      </c>
      <c r="I321">
        <v>0</v>
      </c>
      <c r="J321" t="s">
        <v>1314</v>
      </c>
      <c r="K321">
        <v>4790</v>
      </c>
      <c r="L321">
        <v>3910</v>
      </c>
      <c r="M321">
        <v>-18.37</v>
      </c>
      <c r="N321">
        <v>-0.89</v>
      </c>
      <c r="O321">
        <v>0.64</v>
      </c>
      <c r="P321">
        <v>2.2999999999999998</v>
      </c>
      <c r="Q321">
        <v>-4.8600000000000003</v>
      </c>
      <c r="R321">
        <v>-3.93</v>
      </c>
      <c r="S321">
        <v>-6.03</v>
      </c>
      <c r="T321">
        <v>0.59</v>
      </c>
      <c r="U321">
        <v>1.06</v>
      </c>
      <c r="V321">
        <v>1.78</v>
      </c>
      <c r="W321">
        <v>3.42</v>
      </c>
      <c r="X321">
        <v>1.42</v>
      </c>
      <c r="Y321">
        <v>1.64</v>
      </c>
      <c r="Z321">
        <v>1.51</v>
      </c>
      <c r="AA321">
        <v>0.6</v>
      </c>
      <c r="AB321">
        <v>1.29</v>
      </c>
      <c r="AC321">
        <v>1.42</v>
      </c>
      <c r="AD321">
        <v>2.77</v>
      </c>
      <c r="AE321">
        <v>3.68</v>
      </c>
      <c r="AF321">
        <v>1.878333333333333</v>
      </c>
      <c r="AG321" t="str">
        <f>HYPERLINK("https://finance.naver.com/item/fchart.naver?code=035610", "솔본 차트보기")</f>
        <v>솔본 차트보기</v>
      </c>
    </row>
    <row r="322" spans="1:33" x14ac:dyDescent="0.3">
      <c r="A322" t="s">
        <v>1315</v>
      </c>
      <c r="B322" t="s">
        <v>34</v>
      </c>
      <c r="C322" t="s">
        <v>1316</v>
      </c>
      <c r="D322">
        <v>404306.05</v>
      </c>
      <c r="E322" t="s">
        <v>1317</v>
      </c>
      <c r="F322">
        <v>6.6</v>
      </c>
      <c r="G322">
        <v>0.94999998807907104</v>
      </c>
      <c r="H322">
        <v>449</v>
      </c>
      <c r="I322">
        <v>0</v>
      </c>
      <c r="J322" t="s">
        <v>1318</v>
      </c>
      <c r="K322">
        <v>1967</v>
      </c>
      <c r="L322">
        <v>2965</v>
      </c>
      <c r="M322">
        <v>50.74</v>
      </c>
      <c r="N322">
        <v>4.59</v>
      </c>
      <c r="O322">
        <v>5.45</v>
      </c>
      <c r="P322">
        <v>11.6</v>
      </c>
      <c r="Q322">
        <v>-8.99</v>
      </c>
      <c r="R322">
        <v>-0.55000000000000004</v>
      </c>
      <c r="S322">
        <v>16.88</v>
      </c>
      <c r="T322">
        <v>2.6</v>
      </c>
      <c r="U322">
        <v>2.86</v>
      </c>
      <c r="V322">
        <v>6.5</v>
      </c>
      <c r="W322">
        <v>4.34</v>
      </c>
      <c r="X322">
        <v>7.16</v>
      </c>
      <c r="Y322">
        <v>4.6100000000000003</v>
      </c>
      <c r="Z322">
        <v>1.77</v>
      </c>
      <c r="AA322">
        <v>1.91</v>
      </c>
      <c r="AB322">
        <v>1.78</v>
      </c>
      <c r="AC322">
        <v>2.0699999999999998</v>
      </c>
      <c r="AD322">
        <v>0.08</v>
      </c>
      <c r="AE322">
        <v>3.66</v>
      </c>
      <c r="AF322">
        <v>1.878333333333333</v>
      </c>
      <c r="AG322" t="str">
        <f>HYPERLINK("https://finance.naver.com/item/fchart.naver?code=001380", "SG글로벌 차트보기")</f>
        <v>SG글로벌 차트보기</v>
      </c>
    </row>
    <row r="323" spans="1:33" x14ac:dyDescent="0.3">
      <c r="A323" t="s">
        <v>1319</v>
      </c>
      <c r="B323" t="s">
        <v>34</v>
      </c>
      <c r="C323" t="s">
        <v>1320</v>
      </c>
      <c r="D323">
        <v>1140458.95</v>
      </c>
      <c r="E323" t="s">
        <v>1321</v>
      </c>
      <c r="F323">
        <v>5.43</v>
      </c>
      <c r="G323">
        <v>0.44999998807907099</v>
      </c>
      <c r="H323">
        <v>11380</v>
      </c>
      <c r="I323">
        <v>5.5</v>
      </c>
      <c r="J323" t="s">
        <v>1322</v>
      </c>
      <c r="K323">
        <v>63600</v>
      </c>
      <c r="L323">
        <v>61800</v>
      </c>
      <c r="M323">
        <v>-2.83</v>
      </c>
      <c r="N323">
        <v>1.1499999999999999</v>
      </c>
      <c r="O323">
        <v>0.67</v>
      </c>
      <c r="P323">
        <v>-7.26</v>
      </c>
      <c r="Q323">
        <v>-4.03</v>
      </c>
      <c r="R323">
        <v>7.48</v>
      </c>
      <c r="S323">
        <v>-3.19</v>
      </c>
      <c r="T323">
        <v>1.35</v>
      </c>
      <c r="U323">
        <v>2.2400000000000002</v>
      </c>
      <c r="V323">
        <v>2.89</v>
      </c>
      <c r="W323">
        <v>2.87</v>
      </c>
      <c r="X323">
        <v>1.96</v>
      </c>
      <c r="Y323">
        <v>1.33</v>
      </c>
      <c r="Z323">
        <v>0.85</v>
      </c>
      <c r="AA323">
        <v>0.3</v>
      </c>
      <c r="AB323">
        <v>2.5099999999999998</v>
      </c>
      <c r="AC323">
        <v>1.4</v>
      </c>
      <c r="AD323">
        <v>3.82</v>
      </c>
      <c r="AE323">
        <v>2.4</v>
      </c>
      <c r="AF323">
        <v>1.88</v>
      </c>
      <c r="AG323" t="str">
        <f>HYPERLINK("https://finance.naver.com/item/fchart.naver?code=086790", "하나금융지주 차트보기")</f>
        <v>하나금융지주 차트보기</v>
      </c>
    </row>
    <row r="324" spans="1:33" x14ac:dyDescent="0.3">
      <c r="A324" t="s">
        <v>1323</v>
      </c>
      <c r="B324" t="s">
        <v>55</v>
      </c>
      <c r="C324" t="s">
        <v>1324</v>
      </c>
      <c r="D324">
        <v>24258.05</v>
      </c>
      <c r="E324" t="s">
        <v>1325</v>
      </c>
      <c r="F324">
        <v>0</v>
      </c>
      <c r="G324">
        <v>1.929999947547913</v>
      </c>
      <c r="H324">
        <v>0</v>
      </c>
      <c r="I324">
        <v>0</v>
      </c>
      <c r="J324" t="s">
        <v>1326</v>
      </c>
      <c r="K324">
        <v>604</v>
      </c>
      <c r="L324">
        <v>550</v>
      </c>
      <c r="M324">
        <v>-8.94</v>
      </c>
      <c r="N324">
        <v>2.61</v>
      </c>
      <c r="O324">
        <v>-2.84</v>
      </c>
      <c r="P324">
        <v>-1.71</v>
      </c>
      <c r="Q324">
        <v>-14.47</v>
      </c>
      <c r="R324">
        <v>15.32</v>
      </c>
      <c r="S324">
        <v>-0.33</v>
      </c>
      <c r="T324">
        <v>2.11</v>
      </c>
      <c r="U324">
        <v>1.4</v>
      </c>
      <c r="V324">
        <v>1.84</v>
      </c>
      <c r="W324">
        <v>3.57</v>
      </c>
      <c r="X324">
        <v>5.39</v>
      </c>
      <c r="Y324">
        <v>1.71</v>
      </c>
      <c r="Z324">
        <v>1.24</v>
      </c>
      <c r="AA324">
        <v>2.0299999999999998</v>
      </c>
      <c r="AB324">
        <v>0.93</v>
      </c>
      <c r="AC324">
        <v>4.05</v>
      </c>
      <c r="AD324">
        <v>2.84</v>
      </c>
      <c r="AE324">
        <v>0.19</v>
      </c>
      <c r="AF324">
        <v>1.88</v>
      </c>
      <c r="AG324" t="str">
        <f>HYPERLINK("https://finance.naver.com/item/fchart.naver?code=008290", "원풍물산 차트보기")</f>
        <v>원풍물산 차트보기</v>
      </c>
    </row>
    <row r="325" spans="1:33" x14ac:dyDescent="0.3">
      <c r="A325" t="s">
        <v>1327</v>
      </c>
      <c r="B325" t="s">
        <v>34</v>
      </c>
      <c r="C325" t="s">
        <v>1328</v>
      </c>
      <c r="D325">
        <v>42396.05</v>
      </c>
      <c r="E325" t="s">
        <v>1329</v>
      </c>
      <c r="F325">
        <v>0</v>
      </c>
      <c r="G325">
        <v>0.72000002861022949</v>
      </c>
      <c r="H325">
        <v>0</v>
      </c>
      <c r="I325">
        <v>0</v>
      </c>
      <c r="J325" t="s">
        <v>1330</v>
      </c>
      <c r="K325">
        <v>1735</v>
      </c>
      <c r="L325">
        <v>1220</v>
      </c>
      <c r="M325">
        <v>-29.68</v>
      </c>
      <c r="N325">
        <v>-1.69</v>
      </c>
      <c r="O325">
        <v>-0.64</v>
      </c>
      <c r="P325">
        <v>1.61</v>
      </c>
      <c r="Q325">
        <v>-11.39</v>
      </c>
      <c r="R325">
        <v>-3.02</v>
      </c>
      <c r="S325">
        <v>-3.66</v>
      </c>
      <c r="T325">
        <v>1.08</v>
      </c>
      <c r="U325">
        <v>1.48</v>
      </c>
      <c r="V325">
        <v>1.1000000000000001</v>
      </c>
      <c r="W325">
        <v>3.95</v>
      </c>
      <c r="X325">
        <v>1.36</v>
      </c>
      <c r="Y325">
        <v>1.34</v>
      </c>
      <c r="Z325">
        <v>1.56</v>
      </c>
      <c r="AA325">
        <v>0.43</v>
      </c>
      <c r="AB325">
        <v>1.46</v>
      </c>
      <c r="AC325">
        <v>2.88</v>
      </c>
      <c r="AD325">
        <v>2.2200000000000002</v>
      </c>
      <c r="AE325">
        <v>2.73</v>
      </c>
      <c r="AF325">
        <v>1.88</v>
      </c>
      <c r="AG325" t="str">
        <f>HYPERLINK("https://finance.naver.com/item/fchart.naver?code=014910", "성문전자 차트보기")</f>
        <v>성문전자 차트보기</v>
      </c>
    </row>
    <row r="326" spans="1:33" x14ac:dyDescent="0.3">
      <c r="A326" t="s">
        <v>1331</v>
      </c>
      <c r="B326" t="s">
        <v>34</v>
      </c>
      <c r="C326" t="s">
        <v>1332</v>
      </c>
      <c r="D326">
        <v>475069.67</v>
      </c>
      <c r="E326" t="s">
        <v>1333</v>
      </c>
      <c r="F326">
        <v>11.4</v>
      </c>
      <c r="G326">
        <v>1.059999942779541</v>
      </c>
      <c r="H326">
        <v>4954</v>
      </c>
      <c r="I326">
        <v>6.2699999809265137</v>
      </c>
      <c r="J326" t="s">
        <v>1334</v>
      </c>
      <c r="K326">
        <v>52000</v>
      </c>
      <c r="L326">
        <v>56500</v>
      </c>
      <c r="M326">
        <v>8.65</v>
      </c>
      <c r="N326">
        <v>-0.88</v>
      </c>
      <c r="O326">
        <v>1.98</v>
      </c>
      <c r="P326">
        <v>1.27</v>
      </c>
      <c r="Q326">
        <v>2.79</v>
      </c>
      <c r="R326">
        <v>5.05</v>
      </c>
      <c r="S326">
        <v>0</v>
      </c>
      <c r="T326">
        <v>1.24</v>
      </c>
      <c r="U326">
        <v>1.33</v>
      </c>
      <c r="V326">
        <v>1.37</v>
      </c>
      <c r="W326">
        <v>1.76</v>
      </c>
      <c r="X326">
        <v>0.77</v>
      </c>
      <c r="Y326">
        <v>0.8</v>
      </c>
      <c r="Z326">
        <v>0.71</v>
      </c>
      <c r="AA326">
        <v>1.49</v>
      </c>
      <c r="AB326">
        <v>0.93</v>
      </c>
      <c r="AC326">
        <v>1.59</v>
      </c>
      <c r="AD326">
        <v>6.56</v>
      </c>
      <c r="AE326">
        <v>0</v>
      </c>
      <c r="AF326">
        <v>1.88</v>
      </c>
      <c r="AG326" t="str">
        <f>HYPERLINK("https://finance.naver.com/item/fchart.naver?code=017670", "SK텔레콤 차트보기")</f>
        <v>SK텔레콤 차트보기</v>
      </c>
    </row>
    <row r="327" spans="1:33" x14ac:dyDescent="0.3">
      <c r="A327" t="s">
        <v>1335</v>
      </c>
      <c r="B327" t="s">
        <v>34</v>
      </c>
      <c r="C327" t="s">
        <v>1336</v>
      </c>
      <c r="D327">
        <v>3823.48</v>
      </c>
      <c r="E327" t="s">
        <v>1337</v>
      </c>
      <c r="F327">
        <v>0</v>
      </c>
      <c r="G327">
        <v>0.93000000715255737</v>
      </c>
      <c r="H327">
        <v>0</v>
      </c>
      <c r="I327">
        <v>3.7999999523162842</v>
      </c>
      <c r="J327" t="s">
        <v>1338</v>
      </c>
      <c r="K327">
        <v>4190</v>
      </c>
      <c r="L327">
        <v>3685</v>
      </c>
      <c r="M327">
        <v>-12.05</v>
      </c>
      <c r="N327">
        <v>-1.07</v>
      </c>
      <c r="O327">
        <v>1.36</v>
      </c>
      <c r="P327">
        <v>-1.75</v>
      </c>
      <c r="Q327">
        <v>-9.58</v>
      </c>
      <c r="R327">
        <v>-4.1399999999999997</v>
      </c>
      <c r="S327">
        <v>-5.61</v>
      </c>
      <c r="T327">
        <v>2.04</v>
      </c>
      <c r="U327">
        <v>1.51</v>
      </c>
      <c r="V327">
        <v>1.7</v>
      </c>
      <c r="W327">
        <v>2.88</v>
      </c>
      <c r="X327">
        <v>1.81</v>
      </c>
      <c r="Y327">
        <v>1.73</v>
      </c>
      <c r="Z327">
        <v>0.52</v>
      </c>
      <c r="AA327">
        <v>0.9</v>
      </c>
      <c r="AB327">
        <v>1.03</v>
      </c>
      <c r="AC327">
        <v>3.33</v>
      </c>
      <c r="AD327">
        <v>2.29</v>
      </c>
      <c r="AE327">
        <v>3.24</v>
      </c>
      <c r="AF327">
        <v>1.885</v>
      </c>
      <c r="AG327" t="str">
        <f>HYPERLINK("https://finance.naver.com/item/fchart.naver?code=001420", "태원물산 차트보기")</f>
        <v>태원물산 차트보기</v>
      </c>
    </row>
    <row r="328" spans="1:33" x14ac:dyDescent="0.3">
      <c r="A328" t="s">
        <v>1339</v>
      </c>
      <c r="B328" t="s">
        <v>34</v>
      </c>
      <c r="C328" t="s">
        <v>1340</v>
      </c>
      <c r="D328">
        <v>182.81</v>
      </c>
      <c r="E328" t="s">
        <v>1341</v>
      </c>
      <c r="F328">
        <v>0</v>
      </c>
      <c r="G328">
        <v>3.0099999904632568</v>
      </c>
      <c r="H328">
        <v>0</v>
      </c>
      <c r="I328">
        <v>0</v>
      </c>
      <c r="J328" t="s">
        <v>1342</v>
      </c>
      <c r="K328">
        <v>45700</v>
      </c>
      <c r="L328">
        <v>40200</v>
      </c>
      <c r="M328">
        <v>-12.04</v>
      </c>
      <c r="N328">
        <v>1.01</v>
      </c>
      <c r="O328">
        <v>-2.8</v>
      </c>
      <c r="P328">
        <v>0.12</v>
      </c>
      <c r="Q328">
        <v>-7.52</v>
      </c>
      <c r="R328">
        <v>-3.04</v>
      </c>
      <c r="S328">
        <v>3.25</v>
      </c>
      <c r="T328">
        <v>0.69</v>
      </c>
      <c r="U328">
        <v>1.1499999999999999</v>
      </c>
      <c r="V328">
        <v>1.23</v>
      </c>
      <c r="W328">
        <v>1.83</v>
      </c>
      <c r="X328">
        <v>2.11</v>
      </c>
      <c r="Y328">
        <v>1.83</v>
      </c>
      <c r="Z328">
        <v>1.46</v>
      </c>
      <c r="AA328">
        <v>2.4300000000000002</v>
      </c>
      <c r="AB328">
        <v>0.1</v>
      </c>
      <c r="AC328">
        <v>4.1100000000000003</v>
      </c>
      <c r="AD328">
        <v>1.44</v>
      </c>
      <c r="AE328">
        <v>1.78</v>
      </c>
      <c r="AF328">
        <v>1.8866666666666669</v>
      </c>
      <c r="AG328" t="str">
        <f>HYPERLINK("https://finance.naver.com/item/fchart.naver?code=000650", "천일고속 차트보기")</f>
        <v>천일고속 차트보기</v>
      </c>
    </row>
    <row r="329" spans="1:33" x14ac:dyDescent="0.3">
      <c r="A329" t="s">
        <v>1343</v>
      </c>
      <c r="B329" t="s">
        <v>55</v>
      </c>
      <c r="C329" t="s">
        <v>1344</v>
      </c>
      <c r="D329">
        <v>62212.76</v>
      </c>
      <c r="E329" t="s">
        <v>1345</v>
      </c>
      <c r="F329">
        <v>8.9</v>
      </c>
      <c r="G329">
        <v>0.70999997854232788</v>
      </c>
      <c r="H329">
        <v>317</v>
      </c>
      <c r="I329">
        <v>4.2600002288818359</v>
      </c>
      <c r="J329" t="s">
        <v>1346</v>
      </c>
      <c r="K329">
        <v>3255</v>
      </c>
      <c r="L329">
        <v>2820</v>
      </c>
      <c r="M329">
        <v>-13.36</v>
      </c>
      <c r="N329">
        <v>1.44</v>
      </c>
      <c r="O329">
        <v>-1.04</v>
      </c>
      <c r="P329">
        <v>1.41</v>
      </c>
      <c r="Q329">
        <v>-4.2</v>
      </c>
      <c r="R329">
        <v>-1</v>
      </c>
      <c r="S329">
        <v>-4</v>
      </c>
      <c r="T329">
        <v>1.42</v>
      </c>
      <c r="U329">
        <v>1.59</v>
      </c>
      <c r="V329">
        <v>0.95</v>
      </c>
      <c r="W329">
        <v>2.61</v>
      </c>
      <c r="X329">
        <v>0.8</v>
      </c>
      <c r="Y329">
        <v>0.75</v>
      </c>
      <c r="Z329">
        <v>1.01</v>
      </c>
      <c r="AA329">
        <v>0.65</v>
      </c>
      <c r="AB329">
        <v>1.48</v>
      </c>
      <c r="AC329">
        <v>1.61</v>
      </c>
      <c r="AD329">
        <v>1.25</v>
      </c>
      <c r="AE329">
        <v>5.33</v>
      </c>
      <c r="AF329">
        <v>1.888333333333333</v>
      </c>
      <c r="AG329" t="str">
        <f>HYPERLINK("https://finance.naver.com/item/fchart.naver?code=039240", "경남스틸 차트보기")</f>
        <v>경남스틸 차트보기</v>
      </c>
    </row>
    <row r="330" spans="1:33" x14ac:dyDescent="0.3">
      <c r="A330" t="s">
        <v>1347</v>
      </c>
      <c r="B330" t="s">
        <v>55</v>
      </c>
      <c r="C330" t="s">
        <v>1348</v>
      </c>
      <c r="D330">
        <v>323367.71000000002</v>
      </c>
      <c r="E330" t="s">
        <v>1349</v>
      </c>
      <c r="F330">
        <v>0</v>
      </c>
      <c r="G330">
        <v>3.9000000953674321</v>
      </c>
      <c r="H330">
        <v>0</v>
      </c>
      <c r="I330">
        <v>0</v>
      </c>
      <c r="J330" t="s">
        <v>1350</v>
      </c>
      <c r="K330">
        <v>2160</v>
      </c>
      <c r="L330">
        <v>1839</v>
      </c>
      <c r="M330">
        <v>-14.86</v>
      </c>
      <c r="N330">
        <v>-13.05</v>
      </c>
      <c r="O330">
        <v>25.54</v>
      </c>
      <c r="P330">
        <v>-1.74</v>
      </c>
      <c r="Q330">
        <v>0.42</v>
      </c>
      <c r="R330">
        <v>-3.98</v>
      </c>
      <c r="S330">
        <v>1.26</v>
      </c>
      <c r="T330">
        <v>5.01</v>
      </c>
      <c r="U330">
        <v>4.67</v>
      </c>
      <c r="V330">
        <v>1.64</v>
      </c>
      <c r="W330">
        <v>6.14</v>
      </c>
      <c r="X330">
        <v>2.3199999999999998</v>
      </c>
      <c r="Y330">
        <v>3.05</v>
      </c>
      <c r="Z330">
        <v>2.6</v>
      </c>
      <c r="AA330">
        <v>5.47</v>
      </c>
      <c r="AB330">
        <v>1.06</v>
      </c>
      <c r="AC330">
        <v>7.0000000000000007E-2</v>
      </c>
      <c r="AD330">
        <v>1.72</v>
      </c>
      <c r="AE330">
        <v>0.41</v>
      </c>
      <c r="AF330">
        <v>1.8883333333333341</v>
      </c>
      <c r="AG330" t="str">
        <f>HYPERLINK("https://finance.naver.com/item/fchart.naver?code=286750", "나노브릭 차트보기")</f>
        <v>나노브릭 차트보기</v>
      </c>
    </row>
    <row r="331" spans="1:33" x14ac:dyDescent="0.3">
      <c r="A331" t="s">
        <v>1351</v>
      </c>
      <c r="B331" t="s">
        <v>34</v>
      </c>
      <c r="C331" t="s">
        <v>1352</v>
      </c>
      <c r="D331">
        <v>13026.33</v>
      </c>
      <c r="E331" t="s">
        <v>1353</v>
      </c>
      <c r="F331">
        <v>8.7799999999999994</v>
      </c>
      <c r="G331">
        <v>0.6600000262260437</v>
      </c>
      <c r="H331">
        <v>224</v>
      </c>
      <c r="I331">
        <v>0</v>
      </c>
      <c r="J331" t="s">
        <v>1354</v>
      </c>
      <c r="K331">
        <v>2390</v>
      </c>
      <c r="L331">
        <v>1966</v>
      </c>
      <c r="M331">
        <v>-17.739999999999998</v>
      </c>
      <c r="N331">
        <v>-0.86</v>
      </c>
      <c r="O331">
        <v>-0.1</v>
      </c>
      <c r="P331">
        <v>0.51</v>
      </c>
      <c r="Q331">
        <v>-11.92</v>
      </c>
      <c r="R331">
        <v>5.76</v>
      </c>
      <c r="S331">
        <v>-6.5</v>
      </c>
      <c r="T331">
        <v>0.56999999999999995</v>
      </c>
      <c r="U331">
        <v>0.37</v>
      </c>
      <c r="V331">
        <v>0.79</v>
      </c>
      <c r="W331">
        <v>2.62</v>
      </c>
      <c r="X331">
        <v>6.96</v>
      </c>
      <c r="Y331">
        <v>1.84</v>
      </c>
      <c r="Z331">
        <v>1.51</v>
      </c>
      <c r="AA331">
        <v>0.27</v>
      </c>
      <c r="AB331">
        <v>0.65</v>
      </c>
      <c r="AC331">
        <v>4.55</v>
      </c>
      <c r="AD331">
        <v>0.83</v>
      </c>
      <c r="AE331">
        <v>3.53</v>
      </c>
      <c r="AF331">
        <v>1.89</v>
      </c>
      <c r="AG331" t="str">
        <f>HYPERLINK("https://finance.naver.com/item/fchart.naver?code=025890", "한국주강 차트보기")</f>
        <v>한국주강 차트보기</v>
      </c>
    </row>
    <row r="332" spans="1:33" x14ac:dyDescent="0.3">
      <c r="A332" t="s">
        <v>1355</v>
      </c>
      <c r="B332" t="s">
        <v>34</v>
      </c>
      <c r="C332" t="s">
        <v>1356</v>
      </c>
      <c r="D332">
        <v>1143.9000000000001</v>
      </c>
      <c r="E332" t="s">
        <v>1357</v>
      </c>
      <c r="F332">
        <v>15.47</v>
      </c>
      <c r="G332">
        <v>2.4800000190734859</v>
      </c>
      <c r="H332">
        <v>12771</v>
      </c>
      <c r="I332">
        <v>1.0099999904632571</v>
      </c>
      <c r="J332" t="s">
        <v>1358</v>
      </c>
      <c r="K332">
        <v>193600</v>
      </c>
      <c r="L332">
        <v>197600</v>
      </c>
      <c r="M332">
        <v>2.0699999999999998</v>
      </c>
      <c r="N332">
        <v>-2.42</v>
      </c>
      <c r="O332">
        <v>1.82</v>
      </c>
      <c r="P332">
        <v>-2.64</v>
      </c>
      <c r="Q332">
        <v>-0.97</v>
      </c>
      <c r="R332">
        <v>-3.33</v>
      </c>
      <c r="S332">
        <v>0.99</v>
      </c>
      <c r="T332">
        <v>0.51</v>
      </c>
      <c r="U332">
        <v>1.27</v>
      </c>
      <c r="V332">
        <v>1.78</v>
      </c>
      <c r="W332">
        <v>2.77</v>
      </c>
      <c r="X332">
        <v>1.28</v>
      </c>
      <c r="Y332">
        <v>1.32</v>
      </c>
      <c r="Z332">
        <v>4.75</v>
      </c>
      <c r="AA332">
        <v>1.43</v>
      </c>
      <c r="AB332">
        <v>1.48</v>
      </c>
      <c r="AC332">
        <v>0.35</v>
      </c>
      <c r="AD332">
        <v>2.6</v>
      </c>
      <c r="AE332">
        <v>0.75</v>
      </c>
      <c r="AF332">
        <v>1.8933333333333331</v>
      </c>
      <c r="AG332" t="str">
        <f>HYPERLINK("https://finance.naver.com/item/fchart.naver?code=002840", "미원상사 차트보기")</f>
        <v>미원상사 차트보기</v>
      </c>
    </row>
    <row r="333" spans="1:33" x14ac:dyDescent="0.3">
      <c r="A333" t="s">
        <v>1359</v>
      </c>
      <c r="B333" t="s">
        <v>55</v>
      </c>
      <c r="C333" t="s">
        <v>1360</v>
      </c>
      <c r="D333">
        <v>1719.19</v>
      </c>
      <c r="E333" t="s">
        <v>1361</v>
      </c>
      <c r="F333">
        <v>18.71</v>
      </c>
      <c r="G333">
        <v>3.589999914169312</v>
      </c>
      <c r="H333">
        <v>4570</v>
      </c>
      <c r="I333">
        <v>6</v>
      </c>
      <c r="J333" t="s">
        <v>1362</v>
      </c>
      <c r="K333">
        <v>86500</v>
      </c>
      <c r="L333">
        <v>85500</v>
      </c>
      <c r="M333">
        <v>-1.1599999999999999</v>
      </c>
      <c r="N333">
        <v>0</v>
      </c>
      <c r="O333">
        <v>1.43</v>
      </c>
      <c r="P333">
        <v>0.59</v>
      </c>
      <c r="Q333">
        <v>-1.27</v>
      </c>
      <c r="R333">
        <v>-3.24</v>
      </c>
      <c r="S333">
        <v>0.9</v>
      </c>
      <c r="T333">
        <v>0.28999999999999998</v>
      </c>
      <c r="U333">
        <v>0.66</v>
      </c>
      <c r="V333">
        <v>0.49</v>
      </c>
      <c r="W333">
        <v>1.1399999999999999</v>
      </c>
      <c r="X333">
        <v>0.88</v>
      </c>
      <c r="Y333">
        <v>0.28000000000000003</v>
      </c>
      <c r="Z333">
        <v>0</v>
      </c>
      <c r="AA333">
        <v>2.17</v>
      </c>
      <c r="AB333">
        <v>1.2</v>
      </c>
      <c r="AC333">
        <v>1.1100000000000001</v>
      </c>
      <c r="AD333">
        <v>3.68</v>
      </c>
      <c r="AE333">
        <v>3.21</v>
      </c>
      <c r="AF333">
        <v>1.895</v>
      </c>
      <c r="AG333" t="str">
        <f>HYPERLINK("https://finance.naver.com/item/fchart.naver?code=034950", "한국기업평가 차트보기")</f>
        <v>한국기업평가 차트보기</v>
      </c>
    </row>
    <row r="334" spans="1:33" x14ac:dyDescent="0.3">
      <c r="A334" t="s">
        <v>1363</v>
      </c>
      <c r="B334" t="s">
        <v>34</v>
      </c>
      <c r="C334" t="s">
        <v>1364</v>
      </c>
      <c r="D334">
        <v>20563.57</v>
      </c>
      <c r="E334" t="s">
        <v>1365</v>
      </c>
      <c r="F334">
        <v>100.91</v>
      </c>
      <c r="G334">
        <v>0.51999998092651367</v>
      </c>
      <c r="H334">
        <v>110</v>
      </c>
      <c r="I334">
        <v>4.059999942779541</v>
      </c>
      <c r="J334" t="s">
        <v>1366</v>
      </c>
      <c r="K334">
        <v>12250</v>
      </c>
      <c r="L334">
        <v>11100</v>
      </c>
      <c r="M334">
        <v>-9.39</v>
      </c>
      <c r="N334">
        <v>-0.98</v>
      </c>
      <c r="O334">
        <v>6.12</v>
      </c>
      <c r="P334">
        <v>-1.74</v>
      </c>
      <c r="Q334">
        <v>3.34</v>
      </c>
      <c r="R334">
        <v>-3.33</v>
      </c>
      <c r="S334">
        <v>0</v>
      </c>
      <c r="T334">
        <v>0.63</v>
      </c>
      <c r="U334">
        <v>1.27</v>
      </c>
      <c r="V334">
        <v>1.44</v>
      </c>
      <c r="W334">
        <v>2.15</v>
      </c>
      <c r="X334">
        <v>1.48</v>
      </c>
      <c r="Y334">
        <v>1.1100000000000001</v>
      </c>
      <c r="Z334">
        <v>1.56</v>
      </c>
      <c r="AA334">
        <v>4.82</v>
      </c>
      <c r="AB334">
        <v>1.21</v>
      </c>
      <c r="AC334">
        <v>1.55</v>
      </c>
      <c r="AD334">
        <v>2.25</v>
      </c>
      <c r="AE334">
        <v>0</v>
      </c>
      <c r="AF334">
        <v>1.898333333333333</v>
      </c>
      <c r="AG334" t="str">
        <f>HYPERLINK("https://finance.naver.com/item/fchart.naver?code=034310", "NICE 차트보기")</f>
        <v>NICE 차트보기</v>
      </c>
    </row>
    <row r="335" spans="1:33" x14ac:dyDescent="0.3">
      <c r="A335" t="s">
        <v>1367</v>
      </c>
      <c r="B335" t="s">
        <v>34</v>
      </c>
      <c r="C335" t="s">
        <v>1368</v>
      </c>
      <c r="D335">
        <v>1323783.1399999999</v>
      </c>
      <c r="E335" t="s">
        <v>1369</v>
      </c>
      <c r="F335">
        <v>12.97</v>
      </c>
      <c r="G335">
        <v>0.56999999284744263</v>
      </c>
      <c r="H335">
        <v>76</v>
      </c>
      <c r="I335">
        <v>1.5199999809265139</v>
      </c>
      <c r="J335" t="s">
        <v>1370</v>
      </c>
      <c r="K335">
        <v>1058</v>
      </c>
      <c r="L335">
        <v>986</v>
      </c>
      <c r="M335">
        <v>-6.81</v>
      </c>
      <c r="N335">
        <v>-3.9</v>
      </c>
      <c r="O335">
        <v>4.6100000000000003</v>
      </c>
      <c r="P335">
        <v>-1.66</v>
      </c>
      <c r="Q335">
        <v>-2.09</v>
      </c>
      <c r="R335">
        <v>-5.78</v>
      </c>
      <c r="S335">
        <v>7.89</v>
      </c>
      <c r="T335">
        <v>1.25</v>
      </c>
      <c r="U335">
        <v>1.87</v>
      </c>
      <c r="V335">
        <v>1.25</v>
      </c>
      <c r="W335">
        <v>2.0299999999999998</v>
      </c>
      <c r="X335">
        <v>3.72</v>
      </c>
      <c r="Y335">
        <v>4.17</v>
      </c>
      <c r="Z335">
        <v>3.12</v>
      </c>
      <c r="AA335">
        <v>2.4700000000000002</v>
      </c>
      <c r="AB335">
        <v>1.33</v>
      </c>
      <c r="AC335">
        <v>1.03</v>
      </c>
      <c r="AD335">
        <v>1.55</v>
      </c>
      <c r="AE335">
        <v>1.89</v>
      </c>
      <c r="AF335">
        <v>1.898333333333333</v>
      </c>
      <c r="AG335" t="str">
        <f>HYPERLINK("https://finance.naver.com/item/fchart.naver?code=008040", "사조동아원 차트보기")</f>
        <v>사조동아원 차트보기</v>
      </c>
    </row>
    <row r="336" spans="1:33" x14ac:dyDescent="0.3">
      <c r="A336" t="s">
        <v>1371</v>
      </c>
      <c r="B336" t="s">
        <v>55</v>
      </c>
      <c r="C336" t="s">
        <v>1372</v>
      </c>
      <c r="D336">
        <v>20869.759999999998</v>
      </c>
      <c r="E336" t="s">
        <v>1373</v>
      </c>
      <c r="F336">
        <v>0</v>
      </c>
      <c r="G336">
        <v>0</v>
      </c>
      <c r="H336">
        <v>0</v>
      </c>
      <c r="I336">
        <v>0</v>
      </c>
      <c r="J336" t="s">
        <v>1374</v>
      </c>
      <c r="K336">
        <v>2090</v>
      </c>
      <c r="L336">
        <v>2075</v>
      </c>
      <c r="M336">
        <v>-0.72</v>
      </c>
      <c r="N336">
        <v>-0.72</v>
      </c>
      <c r="O336">
        <v>0.97</v>
      </c>
      <c r="P336">
        <v>0</v>
      </c>
      <c r="Q336">
        <v>-0.71</v>
      </c>
      <c r="R336">
        <v>-0.24</v>
      </c>
      <c r="S336">
        <v>0.96</v>
      </c>
      <c r="T336">
        <v>0.3</v>
      </c>
      <c r="U336">
        <v>0.26</v>
      </c>
      <c r="V336">
        <v>0.26</v>
      </c>
      <c r="W336">
        <v>0.33</v>
      </c>
      <c r="X336">
        <v>0.37</v>
      </c>
      <c r="Y336">
        <v>0.39</v>
      </c>
      <c r="Z336">
        <v>2.4</v>
      </c>
      <c r="AA336">
        <v>3.73</v>
      </c>
      <c r="AB336">
        <v>0</v>
      </c>
      <c r="AC336">
        <v>2.15</v>
      </c>
      <c r="AD336">
        <v>0.65</v>
      </c>
      <c r="AE336">
        <v>2.46</v>
      </c>
      <c r="AF336">
        <v>1.898333333333333</v>
      </c>
      <c r="AG336" t="str">
        <f>HYPERLINK("https://finance.naver.com/item/fchart.naver?code=439410", "엔에이치스팩26호 차트보기")</f>
        <v>엔에이치스팩26호 차트보기</v>
      </c>
    </row>
    <row r="337" spans="1:33" x14ac:dyDescent="0.3">
      <c r="A337" t="s">
        <v>1375</v>
      </c>
      <c r="B337" t="s">
        <v>55</v>
      </c>
      <c r="C337" t="s">
        <v>1376</v>
      </c>
      <c r="D337">
        <v>20521.48</v>
      </c>
      <c r="E337" t="s">
        <v>1377</v>
      </c>
      <c r="F337">
        <v>257.08</v>
      </c>
      <c r="G337">
        <v>0.51999998092651367</v>
      </c>
      <c r="H337">
        <v>12</v>
      </c>
      <c r="I337">
        <v>2.2699999809265141</v>
      </c>
      <c r="J337" t="s">
        <v>1378</v>
      </c>
      <c r="K337">
        <v>3980</v>
      </c>
      <c r="L337">
        <v>3085</v>
      </c>
      <c r="M337">
        <v>-22.49</v>
      </c>
      <c r="N337">
        <v>-0.48</v>
      </c>
      <c r="O337">
        <v>2.11</v>
      </c>
      <c r="P337">
        <v>0.64</v>
      </c>
      <c r="Q337">
        <v>-9.9700000000000006</v>
      </c>
      <c r="R337">
        <v>-9.16</v>
      </c>
      <c r="S337">
        <v>1.22</v>
      </c>
      <c r="T337">
        <v>1.26</v>
      </c>
      <c r="U337">
        <v>1.35</v>
      </c>
      <c r="V337">
        <v>2.17</v>
      </c>
      <c r="W337">
        <v>2.88</v>
      </c>
      <c r="X337">
        <v>1.9</v>
      </c>
      <c r="Y337">
        <v>1.38</v>
      </c>
      <c r="Z337">
        <v>0.38</v>
      </c>
      <c r="AA337">
        <v>1.56</v>
      </c>
      <c r="AB337">
        <v>0.28999999999999998</v>
      </c>
      <c r="AC337">
        <v>3.46</v>
      </c>
      <c r="AD337">
        <v>4.82</v>
      </c>
      <c r="AE337">
        <v>0.88</v>
      </c>
      <c r="AF337">
        <v>1.898333333333333</v>
      </c>
      <c r="AG337" t="str">
        <f>HYPERLINK("https://finance.naver.com/item/fchart.naver?code=177830", "파버나인 차트보기")</f>
        <v>파버나인 차트보기</v>
      </c>
    </row>
    <row r="338" spans="1:33" x14ac:dyDescent="0.3">
      <c r="A338" t="s">
        <v>1379</v>
      </c>
      <c r="B338" t="s">
        <v>55</v>
      </c>
      <c r="C338" t="s">
        <v>1380</v>
      </c>
      <c r="D338">
        <v>24844.52</v>
      </c>
      <c r="E338" t="s">
        <v>1381</v>
      </c>
      <c r="F338">
        <v>0</v>
      </c>
      <c r="G338">
        <v>0.73000001907348633</v>
      </c>
      <c r="H338">
        <v>0</v>
      </c>
      <c r="I338">
        <v>1.419999957084656</v>
      </c>
      <c r="J338" t="s">
        <v>1382</v>
      </c>
      <c r="K338">
        <v>8910</v>
      </c>
      <c r="L338">
        <v>7040</v>
      </c>
      <c r="M338">
        <v>-20.99</v>
      </c>
      <c r="N338">
        <v>-0.98</v>
      </c>
      <c r="O338">
        <v>-3.73</v>
      </c>
      <c r="P338">
        <v>-2.4300000000000002</v>
      </c>
      <c r="Q338">
        <v>-3.47</v>
      </c>
      <c r="R338">
        <v>-1.31</v>
      </c>
      <c r="S338">
        <v>-4.78</v>
      </c>
      <c r="T338">
        <v>1.29</v>
      </c>
      <c r="U338">
        <v>1.62</v>
      </c>
      <c r="V338">
        <v>1.72</v>
      </c>
      <c r="W338">
        <v>5.08</v>
      </c>
      <c r="X338">
        <v>1.39</v>
      </c>
      <c r="Y338">
        <v>0.9</v>
      </c>
      <c r="Z338">
        <v>0.76</v>
      </c>
      <c r="AA338">
        <v>2.2999999999999998</v>
      </c>
      <c r="AB338">
        <v>1.41</v>
      </c>
      <c r="AC338">
        <v>0.68</v>
      </c>
      <c r="AD338">
        <v>0.94</v>
      </c>
      <c r="AE338">
        <v>5.31</v>
      </c>
      <c r="AF338">
        <v>1.9</v>
      </c>
      <c r="AG338" t="str">
        <f>HYPERLINK("https://finance.naver.com/item/fchart.naver?code=038070", "서린바이오 차트보기")</f>
        <v>서린바이오 차트보기</v>
      </c>
    </row>
    <row r="339" spans="1:33" x14ac:dyDescent="0.3">
      <c r="A339" t="s">
        <v>1383</v>
      </c>
      <c r="B339" t="s">
        <v>55</v>
      </c>
      <c r="C339" t="s">
        <v>1384</v>
      </c>
      <c r="D339">
        <v>257872.1</v>
      </c>
      <c r="E339" t="s">
        <v>1385</v>
      </c>
      <c r="F339">
        <v>0</v>
      </c>
      <c r="G339">
        <v>0.18999999761581421</v>
      </c>
      <c r="H339">
        <v>0</v>
      </c>
      <c r="I339">
        <v>0.60000002384185791</v>
      </c>
      <c r="J339" t="s">
        <v>1386</v>
      </c>
      <c r="K339">
        <v>1700</v>
      </c>
      <c r="L339">
        <v>1664</v>
      </c>
      <c r="M339">
        <v>-2.12</v>
      </c>
      <c r="N339">
        <v>-7.19</v>
      </c>
      <c r="O339">
        <v>3.69</v>
      </c>
      <c r="P339">
        <v>-2.95</v>
      </c>
      <c r="Q339">
        <v>1.63</v>
      </c>
      <c r="R339">
        <v>-6.45</v>
      </c>
      <c r="S339">
        <v>-1.24</v>
      </c>
      <c r="T339">
        <v>3.13</v>
      </c>
      <c r="U339">
        <v>4.33</v>
      </c>
      <c r="V339">
        <v>1.53</v>
      </c>
      <c r="W339">
        <v>3.2</v>
      </c>
      <c r="X339">
        <v>1.36</v>
      </c>
      <c r="Y339">
        <v>1.1599999999999999</v>
      </c>
      <c r="Z339">
        <v>2.2999999999999998</v>
      </c>
      <c r="AA339">
        <v>0.85</v>
      </c>
      <c r="AB339">
        <v>1.93</v>
      </c>
      <c r="AC339">
        <v>0.51</v>
      </c>
      <c r="AD339">
        <v>4.74</v>
      </c>
      <c r="AE339">
        <v>1.07</v>
      </c>
      <c r="AF339">
        <v>1.9</v>
      </c>
      <c r="AG339" t="str">
        <f>HYPERLINK("https://finance.naver.com/item/fchart.naver?code=001810", "무림SP 차트보기")</f>
        <v>무림SP 차트보기</v>
      </c>
    </row>
    <row r="340" spans="1:33" x14ac:dyDescent="0.3">
      <c r="A340" t="s">
        <v>1387</v>
      </c>
      <c r="B340" t="s">
        <v>55</v>
      </c>
      <c r="C340" t="s">
        <v>1388</v>
      </c>
      <c r="D340">
        <v>477283.95</v>
      </c>
      <c r="E340" t="s">
        <v>1389</v>
      </c>
      <c r="F340">
        <v>26.02</v>
      </c>
      <c r="G340">
        <v>3.2899999618530269</v>
      </c>
      <c r="H340">
        <v>749</v>
      </c>
      <c r="I340">
        <v>0</v>
      </c>
      <c r="J340" t="s">
        <v>1390</v>
      </c>
      <c r="K340">
        <v>23400</v>
      </c>
      <c r="L340">
        <v>19490</v>
      </c>
      <c r="M340">
        <v>-16.71</v>
      </c>
      <c r="N340">
        <v>4.34</v>
      </c>
      <c r="O340">
        <v>-10.75</v>
      </c>
      <c r="P340">
        <v>-2.31</v>
      </c>
      <c r="Q340">
        <v>-17.829999999999998</v>
      </c>
      <c r="R340">
        <v>-0.39</v>
      </c>
      <c r="S340">
        <v>6</v>
      </c>
      <c r="T340">
        <v>5.98</v>
      </c>
      <c r="U340">
        <v>1.78</v>
      </c>
      <c r="V340">
        <v>2.42</v>
      </c>
      <c r="W340">
        <v>6.7</v>
      </c>
      <c r="X340">
        <v>3.31</v>
      </c>
      <c r="Y340">
        <v>6.31</v>
      </c>
      <c r="Z340">
        <v>0.73</v>
      </c>
      <c r="AA340">
        <v>6.04</v>
      </c>
      <c r="AB340">
        <v>0.95</v>
      </c>
      <c r="AC340">
        <v>2.66</v>
      </c>
      <c r="AD340">
        <v>0.12</v>
      </c>
      <c r="AE340">
        <v>0.95</v>
      </c>
      <c r="AF340">
        <v>1.908333333333333</v>
      </c>
      <c r="AG340" t="str">
        <f>HYPERLINK("https://finance.naver.com/item/fchart.naver?code=439090", "마녀공장 차트보기")</f>
        <v>마녀공장 차트보기</v>
      </c>
    </row>
    <row r="341" spans="1:33" x14ac:dyDescent="0.3">
      <c r="A341" t="s">
        <v>1391</v>
      </c>
      <c r="B341" t="s">
        <v>55</v>
      </c>
      <c r="C341" t="s">
        <v>1392</v>
      </c>
      <c r="D341">
        <v>665181.67000000004</v>
      </c>
      <c r="E341" t="s">
        <v>1393</v>
      </c>
      <c r="F341">
        <v>42.43</v>
      </c>
      <c r="G341">
        <v>10.27999973297119</v>
      </c>
      <c r="H341">
        <v>799</v>
      </c>
      <c r="I341">
        <v>0</v>
      </c>
      <c r="J341" t="s">
        <v>1394</v>
      </c>
      <c r="K341">
        <v>25550</v>
      </c>
      <c r="L341">
        <v>33900</v>
      </c>
      <c r="M341">
        <v>32.68</v>
      </c>
      <c r="N341">
        <v>4.3099999999999996</v>
      </c>
      <c r="O341">
        <v>5.43</v>
      </c>
      <c r="P341">
        <v>9.0299999999999994</v>
      </c>
      <c r="Q341">
        <v>-17.920000000000002</v>
      </c>
      <c r="R341">
        <v>11.36</v>
      </c>
      <c r="S341">
        <v>-5.9</v>
      </c>
      <c r="T341">
        <v>3.27</v>
      </c>
      <c r="U341">
        <v>4.54</v>
      </c>
      <c r="V341">
        <v>3.75</v>
      </c>
      <c r="W341">
        <v>5.95</v>
      </c>
      <c r="X341">
        <v>5.28</v>
      </c>
      <c r="Y341">
        <v>4.34</v>
      </c>
      <c r="Z341">
        <v>1.32</v>
      </c>
      <c r="AA341">
        <v>1.2</v>
      </c>
      <c r="AB341">
        <v>2.41</v>
      </c>
      <c r="AC341">
        <v>3.01</v>
      </c>
      <c r="AD341">
        <v>2.15</v>
      </c>
      <c r="AE341">
        <v>1.36</v>
      </c>
      <c r="AF341">
        <v>1.908333333333333</v>
      </c>
      <c r="AG341" t="str">
        <f>HYPERLINK("https://finance.naver.com/item/fchart.naver?code=018290", "브이티 차트보기")</f>
        <v>브이티 차트보기</v>
      </c>
    </row>
    <row r="342" spans="1:33" x14ac:dyDescent="0.3">
      <c r="A342" t="s">
        <v>1395</v>
      </c>
      <c r="B342" t="s">
        <v>55</v>
      </c>
      <c r="C342" t="s">
        <v>1396</v>
      </c>
      <c r="D342">
        <v>38871.29</v>
      </c>
      <c r="E342" t="s">
        <v>1397</v>
      </c>
      <c r="F342">
        <v>0</v>
      </c>
      <c r="G342">
        <v>0.76999998092651367</v>
      </c>
      <c r="H342">
        <v>0</v>
      </c>
      <c r="I342">
        <v>12.64999961853027</v>
      </c>
      <c r="J342" t="s">
        <v>1398</v>
      </c>
      <c r="K342">
        <v>1617</v>
      </c>
      <c r="L342">
        <v>1170</v>
      </c>
      <c r="M342">
        <v>-27.64</v>
      </c>
      <c r="N342">
        <v>-1.27</v>
      </c>
      <c r="O342">
        <v>-0.17</v>
      </c>
      <c r="P342">
        <v>-2.85</v>
      </c>
      <c r="Q342">
        <v>-1.31</v>
      </c>
      <c r="R342">
        <v>-9.59</v>
      </c>
      <c r="S342">
        <v>-10.63</v>
      </c>
      <c r="T342">
        <v>1.19</v>
      </c>
      <c r="U342">
        <v>1.73</v>
      </c>
      <c r="V342">
        <v>2.99</v>
      </c>
      <c r="W342">
        <v>4.3</v>
      </c>
      <c r="X342">
        <v>2.16</v>
      </c>
      <c r="Y342">
        <v>2.31</v>
      </c>
      <c r="Z342">
        <v>1.07</v>
      </c>
      <c r="AA342">
        <v>0.1</v>
      </c>
      <c r="AB342">
        <v>0.95</v>
      </c>
      <c r="AC342">
        <v>0.3</v>
      </c>
      <c r="AD342">
        <v>4.4400000000000004</v>
      </c>
      <c r="AE342">
        <v>4.5999999999999996</v>
      </c>
      <c r="AF342">
        <v>1.91</v>
      </c>
      <c r="AG342" t="str">
        <f>HYPERLINK("https://finance.naver.com/item/fchart.naver?code=092600", "앤씨앤 차트보기")</f>
        <v>앤씨앤 차트보기</v>
      </c>
    </row>
    <row r="343" spans="1:33" x14ac:dyDescent="0.3">
      <c r="A343" t="s">
        <v>1399</v>
      </c>
      <c r="B343" t="s">
        <v>55</v>
      </c>
      <c r="C343" t="s">
        <v>1400</v>
      </c>
      <c r="D343">
        <v>57205.38</v>
      </c>
      <c r="E343" t="s">
        <v>1401</v>
      </c>
      <c r="F343">
        <v>2.73</v>
      </c>
      <c r="G343">
        <v>0.15999999642372131</v>
      </c>
      <c r="H343">
        <v>592</v>
      </c>
      <c r="I343">
        <v>0</v>
      </c>
      <c r="J343" t="s">
        <v>1402</v>
      </c>
      <c r="K343">
        <v>1636</v>
      </c>
      <c r="L343">
        <v>1618</v>
      </c>
      <c r="M343">
        <v>-1.1000000000000001</v>
      </c>
      <c r="N343">
        <v>-2.65</v>
      </c>
      <c r="O343">
        <v>4.2</v>
      </c>
      <c r="P343">
        <v>0.87</v>
      </c>
      <c r="Q343">
        <v>-3.17</v>
      </c>
      <c r="R343">
        <v>-6.54</v>
      </c>
      <c r="S343">
        <v>-0.52</v>
      </c>
      <c r="T343">
        <v>1.17</v>
      </c>
      <c r="U343">
        <v>1.39</v>
      </c>
      <c r="V343">
        <v>1.23</v>
      </c>
      <c r="W343">
        <v>2.42</v>
      </c>
      <c r="X343">
        <v>1.75</v>
      </c>
      <c r="Y343">
        <v>1.2</v>
      </c>
      <c r="Z343">
        <v>2.2599999999999998</v>
      </c>
      <c r="AA343">
        <v>3.02</v>
      </c>
      <c r="AB343">
        <v>0.71</v>
      </c>
      <c r="AC343">
        <v>1.31</v>
      </c>
      <c r="AD343">
        <v>3.74</v>
      </c>
      <c r="AE343">
        <v>0.43</v>
      </c>
      <c r="AF343">
        <v>1.911666666666666</v>
      </c>
      <c r="AG343" t="str">
        <f>HYPERLINK("https://finance.naver.com/item/fchart.naver?code=040610", "SG&amp;G 차트보기")</f>
        <v>SG&amp;G 차트보기</v>
      </c>
    </row>
    <row r="344" spans="1:33" x14ac:dyDescent="0.3">
      <c r="A344" t="s">
        <v>1403</v>
      </c>
      <c r="B344" t="s">
        <v>34</v>
      </c>
      <c r="C344" t="s">
        <v>1404</v>
      </c>
      <c r="D344">
        <v>295.05</v>
      </c>
      <c r="E344" t="s">
        <v>1405</v>
      </c>
      <c r="F344">
        <v>0</v>
      </c>
      <c r="G344">
        <v>0</v>
      </c>
      <c r="H344">
        <v>0</v>
      </c>
      <c r="I344">
        <v>1.220000028610229</v>
      </c>
      <c r="J344" t="s">
        <v>1406</v>
      </c>
      <c r="K344">
        <v>9890</v>
      </c>
      <c r="L344">
        <v>8600</v>
      </c>
      <c r="M344">
        <v>-13.04</v>
      </c>
      <c r="N344">
        <v>-0.92</v>
      </c>
      <c r="O344">
        <v>-4.82</v>
      </c>
      <c r="P344">
        <v>0.22</v>
      </c>
      <c r="Q344">
        <v>-6.99</v>
      </c>
      <c r="R344">
        <v>0.81</v>
      </c>
      <c r="S344">
        <v>-0.1</v>
      </c>
      <c r="T344">
        <v>1.77</v>
      </c>
      <c r="U344">
        <v>0.83</v>
      </c>
      <c r="V344">
        <v>1.77</v>
      </c>
      <c r="W344">
        <v>1.59</v>
      </c>
      <c r="X344">
        <v>1.36</v>
      </c>
      <c r="Y344">
        <v>3.63</v>
      </c>
      <c r="Z344">
        <v>0.52</v>
      </c>
      <c r="AA344">
        <v>5.81</v>
      </c>
      <c r="AB344">
        <v>0.12</v>
      </c>
      <c r="AC344">
        <v>4.4000000000000004</v>
      </c>
      <c r="AD344">
        <v>0.6</v>
      </c>
      <c r="AE344">
        <v>0.03</v>
      </c>
      <c r="AF344">
        <v>1.9133333333333331</v>
      </c>
      <c r="AG344" t="str">
        <f>HYPERLINK("https://finance.naver.com/item/fchart.naver?code=005745", "크라운해태홀딩스우 차트보기")</f>
        <v>크라운해태홀딩스우 차트보기</v>
      </c>
    </row>
    <row r="345" spans="1:33" x14ac:dyDescent="0.3">
      <c r="A345" t="s">
        <v>1407</v>
      </c>
      <c r="B345" t="s">
        <v>34</v>
      </c>
      <c r="C345" t="s">
        <v>1408</v>
      </c>
      <c r="D345">
        <v>44523.71</v>
      </c>
      <c r="E345" t="s">
        <v>1409</v>
      </c>
      <c r="F345">
        <v>4.7300000000000004</v>
      </c>
      <c r="G345">
        <v>0.40000000596046448</v>
      </c>
      <c r="H345">
        <v>2312</v>
      </c>
      <c r="I345">
        <v>2.3299999237060551</v>
      </c>
      <c r="J345" t="s">
        <v>1410</v>
      </c>
      <c r="K345">
        <v>10800</v>
      </c>
      <c r="L345">
        <v>10930</v>
      </c>
      <c r="M345">
        <v>1.2</v>
      </c>
      <c r="N345">
        <v>2.92</v>
      </c>
      <c r="O345">
        <v>0.47</v>
      </c>
      <c r="P345">
        <v>-3.39</v>
      </c>
      <c r="Q345">
        <v>-2.33</v>
      </c>
      <c r="R345">
        <v>7.32</v>
      </c>
      <c r="S345">
        <v>1.24</v>
      </c>
      <c r="T345">
        <v>1.57</v>
      </c>
      <c r="U345">
        <v>1.77</v>
      </c>
      <c r="V345">
        <v>1.59</v>
      </c>
      <c r="W345">
        <v>2.2999999999999998</v>
      </c>
      <c r="X345">
        <v>1.4</v>
      </c>
      <c r="Y345">
        <v>1.26</v>
      </c>
      <c r="Z345">
        <v>1.86</v>
      </c>
      <c r="AA345">
        <v>0.27</v>
      </c>
      <c r="AB345">
        <v>2.13</v>
      </c>
      <c r="AC345">
        <v>1.01</v>
      </c>
      <c r="AD345">
        <v>5.23</v>
      </c>
      <c r="AE345">
        <v>0.98</v>
      </c>
      <c r="AF345">
        <v>1.9133333333333331</v>
      </c>
      <c r="AG345" t="str">
        <f>HYPERLINK("https://finance.naver.com/item/fchart.naver?code=183190", "아세아시멘트 차트보기")</f>
        <v>아세아시멘트 차트보기</v>
      </c>
    </row>
    <row r="346" spans="1:33" x14ac:dyDescent="0.3">
      <c r="A346" t="s">
        <v>1411</v>
      </c>
      <c r="B346" t="s">
        <v>55</v>
      </c>
      <c r="C346" t="s">
        <v>1412</v>
      </c>
      <c r="D346">
        <v>55110.33</v>
      </c>
      <c r="E346" t="s">
        <v>1413</v>
      </c>
      <c r="F346">
        <v>17.64</v>
      </c>
      <c r="G346">
        <v>0.34999999403953552</v>
      </c>
      <c r="H346">
        <v>415</v>
      </c>
      <c r="I346">
        <v>0</v>
      </c>
      <c r="J346" t="s">
        <v>1414</v>
      </c>
      <c r="K346">
        <v>9790</v>
      </c>
      <c r="L346">
        <v>7320</v>
      </c>
      <c r="M346">
        <v>-25.23</v>
      </c>
      <c r="N346">
        <v>-2.92</v>
      </c>
      <c r="O346">
        <v>-7</v>
      </c>
      <c r="P346">
        <v>1.54</v>
      </c>
      <c r="Q346">
        <v>-5.91</v>
      </c>
      <c r="R346">
        <v>-4.16</v>
      </c>
      <c r="S346">
        <v>-6.52</v>
      </c>
      <c r="T346">
        <v>2.67</v>
      </c>
      <c r="U346">
        <v>2.48</v>
      </c>
      <c r="V346">
        <v>3.79</v>
      </c>
      <c r="W346">
        <v>5.08</v>
      </c>
      <c r="X346">
        <v>1.87</v>
      </c>
      <c r="Y346">
        <v>1.72</v>
      </c>
      <c r="Z346">
        <v>1.0900000000000001</v>
      </c>
      <c r="AA346">
        <v>2.82</v>
      </c>
      <c r="AB346">
        <v>0.41</v>
      </c>
      <c r="AC346">
        <v>1.1599999999999999</v>
      </c>
      <c r="AD346">
        <v>2.2200000000000002</v>
      </c>
      <c r="AE346">
        <v>3.79</v>
      </c>
      <c r="AF346">
        <v>1.915</v>
      </c>
      <c r="AG346" t="str">
        <f>HYPERLINK("https://finance.naver.com/item/fchart.naver?code=123420", "위메이드플레이 차트보기")</f>
        <v>위메이드플레이 차트보기</v>
      </c>
    </row>
    <row r="347" spans="1:33" x14ac:dyDescent="0.3">
      <c r="A347" t="s">
        <v>1415</v>
      </c>
      <c r="B347" t="s">
        <v>55</v>
      </c>
      <c r="C347" t="s">
        <v>1416</v>
      </c>
      <c r="D347">
        <v>38148.71</v>
      </c>
      <c r="E347" t="s">
        <v>1417</v>
      </c>
      <c r="F347">
        <v>15.18</v>
      </c>
      <c r="G347">
        <v>0.6600000262260437</v>
      </c>
      <c r="H347">
        <v>369</v>
      </c>
      <c r="I347">
        <v>1.7899999618530269</v>
      </c>
      <c r="J347" t="s">
        <v>1418</v>
      </c>
      <c r="K347">
        <v>6160</v>
      </c>
      <c r="L347">
        <v>5600</v>
      </c>
      <c r="M347">
        <v>-9.09</v>
      </c>
      <c r="N347">
        <v>-2.95</v>
      </c>
      <c r="O347">
        <v>5.62</v>
      </c>
      <c r="P347">
        <v>-6.52</v>
      </c>
      <c r="Q347">
        <v>-7.09</v>
      </c>
      <c r="R347">
        <v>-6.27</v>
      </c>
      <c r="S347">
        <v>-2.42</v>
      </c>
      <c r="T347">
        <v>1.42</v>
      </c>
      <c r="U347">
        <v>2.39</v>
      </c>
      <c r="V347">
        <v>1.9</v>
      </c>
      <c r="W347">
        <v>4.46</v>
      </c>
      <c r="X347">
        <v>4.13</v>
      </c>
      <c r="Y347">
        <v>4.5999999999999996</v>
      </c>
      <c r="Z347">
        <v>2.08</v>
      </c>
      <c r="AA347">
        <v>2.35</v>
      </c>
      <c r="AB347">
        <v>3.43</v>
      </c>
      <c r="AC347">
        <v>1.59</v>
      </c>
      <c r="AD347">
        <v>1.52</v>
      </c>
      <c r="AE347">
        <v>0.53</v>
      </c>
      <c r="AF347">
        <v>1.9166666666666661</v>
      </c>
      <c r="AG347" t="str">
        <f>HYPERLINK("https://finance.naver.com/item/fchart.naver?code=260930", "씨티케이 차트보기")</f>
        <v>씨티케이 차트보기</v>
      </c>
    </row>
    <row r="348" spans="1:33" x14ac:dyDescent="0.3">
      <c r="A348" t="s">
        <v>1419</v>
      </c>
      <c r="B348" t="s">
        <v>34</v>
      </c>
      <c r="C348" t="s">
        <v>1420</v>
      </c>
      <c r="D348">
        <v>45430.33</v>
      </c>
      <c r="E348" t="s">
        <v>1421</v>
      </c>
      <c r="F348">
        <v>10.15</v>
      </c>
      <c r="G348">
        <v>2.1099998950958252</v>
      </c>
      <c r="H348">
        <v>1226</v>
      </c>
      <c r="I348">
        <v>6.0199999809265137</v>
      </c>
      <c r="J348" t="s">
        <v>1422</v>
      </c>
      <c r="K348">
        <v>12980</v>
      </c>
      <c r="L348">
        <v>12450</v>
      </c>
      <c r="M348">
        <v>-4.08</v>
      </c>
      <c r="N348">
        <v>-0.72</v>
      </c>
      <c r="O348">
        <v>-2.0299999999999998</v>
      </c>
      <c r="P348">
        <v>0.16</v>
      </c>
      <c r="Q348">
        <v>-2.29</v>
      </c>
      <c r="R348">
        <v>-6.03</v>
      </c>
      <c r="S348">
        <v>0.6</v>
      </c>
      <c r="T348">
        <v>0.67</v>
      </c>
      <c r="U348">
        <v>0.62</v>
      </c>
      <c r="V348">
        <v>1.25</v>
      </c>
      <c r="W348">
        <v>1.7</v>
      </c>
      <c r="X348">
        <v>1.18</v>
      </c>
      <c r="Y348">
        <v>1.04</v>
      </c>
      <c r="Z348">
        <v>1.07</v>
      </c>
      <c r="AA348">
        <v>3.27</v>
      </c>
      <c r="AB348">
        <v>0.13</v>
      </c>
      <c r="AC348">
        <v>1.35</v>
      </c>
      <c r="AD348">
        <v>5.1100000000000003</v>
      </c>
      <c r="AE348">
        <v>0.57999999999999996</v>
      </c>
      <c r="AF348">
        <v>1.918333333333333</v>
      </c>
      <c r="AG348" t="str">
        <f>HYPERLINK("https://finance.naver.com/item/fchart.naver?code=094280", "효성ITX 차트보기")</f>
        <v>효성ITX 차트보기</v>
      </c>
    </row>
    <row r="349" spans="1:33" x14ac:dyDescent="0.3">
      <c r="A349" t="s">
        <v>1423</v>
      </c>
      <c r="B349" t="s">
        <v>55</v>
      </c>
      <c r="C349" t="s">
        <v>1424</v>
      </c>
      <c r="D349">
        <v>84737.05</v>
      </c>
      <c r="E349" t="s">
        <v>1425</v>
      </c>
      <c r="F349">
        <v>0</v>
      </c>
      <c r="G349">
        <v>6.309999942779541</v>
      </c>
      <c r="H349">
        <v>0</v>
      </c>
      <c r="I349">
        <v>0</v>
      </c>
      <c r="J349" t="s">
        <v>1426</v>
      </c>
      <c r="K349">
        <v>4735</v>
      </c>
      <c r="L349">
        <v>5740</v>
      </c>
      <c r="M349">
        <v>21.22</v>
      </c>
      <c r="N349">
        <v>1.23</v>
      </c>
      <c r="O349">
        <v>8.35</v>
      </c>
      <c r="P349">
        <v>0.76</v>
      </c>
      <c r="Q349">
        <v>-7.47</v>
      </c>
      <c r="R349">
        <v>-1.73</v>
      </c>
      <c r="S349">
        <v>11.2</v>
      </c>
      <c r="T349">
        <v>3.28</v>
      </c>
      <c r="U349">
        <v>2.78</v>
      </c>
      <c r="V349">
        <v>2.25</v>
      </c>
      <c r="W349">
        <v>3.2</v>
      </c>
      <c r="X349">
        <v>8.6999999999999993</v>
      </c>
      <c r="Y349">
        <v>2.12</v>
      </c>
      <c r="Z349">
        <v>0.38</v>
      </c>
      <c r="AA349">
        <v>3</v>
      </c>
      <c r="AB349">
        <v>0.34</v>
      </c>
      <c r="AC349">
        <v>2.33</v>
      </c>
      <c r="AD349">
        <v>0.2</v>
      </c>
      <c r="AE349">
        <v>5.28</v>
      </c>
      <c r="AF349">
        <v>1.9216666666666671</v>
      </c>
      <c r="AG349" t="str">
        <f>HYPERLINK("https://finance.naver.com/item/fchart.naver?code=322180", "티라유텍 차트보기")</f>
        <v>티라유텍 차트보기</v>
      </c>
    </row>
    <row r="350" spans="1:33" x14ac:dyDescent="0.3">
      <c r="A350" t="s">
        <v>1427</v>
      </c>
      <c r="B350" t="s">
        <v>34</v>
      </c>
      <c r="C350" t="s">
        <v>1428</v>
      </c>
      <c r="D350">
        <v>5280.81</v>
      </c>
      <c r="E350" t="s">
        <v>1429</v>
      </c>
      <c r="F350">
        <v>1.77</v>
      </c>
      <c r="G350">
        <v>0.33000001311302191</v>
      </c>
      <c r="H350">
        <v>67438</v>
      </c>
      <c r="I350">
        <v>6.7100000381469727</v>
      </c>
      <c r="J350" t="s">
        <v>1430</v>
      </c>
      <c r="K350">
        <v>135700</v>
      </c>
      <c r="L350">
        <v>119200</v>
      </c>
      <c r="M350">
        <v>-12.16</v>
      </c>
      <c r="N350">
        <v>4.2</v>
      </c>
      <c r="O350">
        <v>-1.9</v>
      </c>
      <c r="P350">
        <v>0.34</v>
      </c>
      <c r="Q350">
        <v>-9.3000000000000007</v>
      </c>
      <c r="R350">
        <v>0.4</v>
      </c>
      <c r="S350">
        <v>-4.67</v>
      </c>
      <c r="T350">
        <v>2.46</v>
      </c>
      <c r="U350">
        <v>0.99</v>
      </c>
      <c r="V350">
        <v>1.0900000000000001</v>
      </c>
      <c r="W350">
        <v>1.8</v>
      </c>
      <c r="X350">
        <v>1.81</v>
      </c>
      <c r="Y350">
        <v>2.11</v>
      </c>
      <c r="Z350">
        <v>1.71</v>
      </c>
      <c r="AA350">
        <v>1.92</v>
      </c>
      <c r="AB350">
        <v>0.31</v>
      </c>
      <c r="AC350">
        <v>5.17</v>
      </c>
      <c r="AD350">
        <v>0.22</v>
      </c>
      <c r="AE350">
        <v>2.21</v>
      </c>
      <c r="AF350">
        <v>1.9233333333333329</v>
      </c>
      <c r="AG350" t="str">
        <f>HYPERLINK("https://finance.naver.com/item/fchart.naver?code=306200", "세아제강 차트보기")</f>
        <v>세아제강 차트보기</v>
      </c>
    </row>
    <row r="351" spans="1:33" x14ac:dyDescent="0.3">
      <c r="A351" t="s">
        <v>1431</v>
      </c>
      <c r="B351" t="s">
        <v>55</v>
      </c>
      <c r="C351" t="s">
        <v>1432</v>
      </c>
      <c r="D351">
        <v>16422.669999999998</v>
      </c>
      <c r="E351" t="s">
        <v>1433</v>
      </c>
      <c r="F351">
        <v>16.88</v>
      </c>
      <c r="G351">
        <v>1.110000014305115</v>
      </c>
      <c r="H351">
        <v>168</v>
      </c>
      <c r="I351">
        <v>0.70999997854232788</v>
      </c>
      <c r="J351" t="s">
        <v>1434</v>
      </c>
      <c r="K351">
        <v>3565</v>
      </c>
      <c r="L351">
        <v>2835</v>
      </c>
      <c r="M351">
        <v>-20.48</v>
      </c>
      <c r="N351">
        <v>-0.18</v>
      </c>
      <c r="O351">
        <v>-4.43</v>
      </c>
      <c r="P351">
        <v>-4.1500000000000004</v>
      </c>
      <c r="Q351">
        <v>2.42</v>
      </c>
      <c r="R351">
        <v>-6.02</v>
      </c>
      <c r="S351">
        <v>-3.88</v>
      </c>
      <c r="T351">
        <v>1.72</v>
      </c>
      <c r="U351">
        <v>1.02</v>
      </c>
      <c r="V351">
        <v>2.15</v>
      </c>
      <c r="W351">
        <v>5.49</v>
      </c>
      <c r="X351">
        <v>2.0499999999999998</v>
      </c>
      <c r="Y351">
        <v>2.17</v>
      </c>
      <c r="Z351">
        <v>0.1</v>
      </c>
      <c r="AA351">
        <v>4.34</v>
      </c>
      <c r="AB351">
        <v>1.93</v>
      </c>
      <c r="AC351">
        <v>0.44</v>
      </c>
      <c r="AD351">
        <v>2.94</v>
      </c>
      <c r="AE351">
        <v>1.79</v>
      </c>
      <c r="AF351">
        <v>1.9233333333333329</v>
      </c>
      <c r="AG351" t="str">
        <f>HYPERLINK("https://finance.naver.com/item/fchart.naver?code=356890", "싸이버원 차트보기")</f>
        <v>싸이버원 차트보기</v>
      </c>
    </row>
    <row r="352" spans="1:33" x14ac:dyDescent="0.3">
      <c r="A352" t="s">
        <v>1435</v>
      </c>
      <c r="B352" t="s">
        <v>55</v>
      </c>
      <c r="C352" t="s">
        <v>1436</v>
      </c>
      <c r="D352">
        <v>5060.67</v>
      </c>
      <c r="E352" t="s">
        <v>1437</v>
      </c>
      <c r="F352">
        <v>0</v>
      </c>
      <c r="G352">
        <v>0</v>
      </c>
      <c r="H352">
        <v>0</v>
      </c>
      <c r="I352">
        <v>0</v>
      </c>
      <c r="J352" t="s">
        <v>1438</v>
      </c>
      <c r="K352">
        <v>2200</v>
      </c>
      <c r="L352">
        <v>2140</v>
      </c>
      <c r="M352">
        <v>-2.73</v>
      </c>
      <c r="N352">
        <v>-0.23</v>
      </c>
      <c r="O352">
        <v>0.7</v>
      </c>
      <c r="P352">
        <v>-1.17</v>
      </c>
      <c r="Q352">
        <v>-2.27</v>
      </c>
      <c r="R352">
        <v>-0.23</v>
      </c>
      <c r="S352">
        <v>1.62</v>
      </c>
      <c r="T352">
        <v>0.53</v>
      </c>
      <c r="U352">
        <v>0.41</v>
      </c>
      <c r="V352">
        <v>0.42</v>
      </c>
      <c r="W352">
        <v>0.69</v>
      </c>
      <c r="X352">
        <v>0.3</v>
      </c>
      <c r="Y352">
        <v>0.63</v>
      </c>
      <c r="Z352">
        <v>0.43</v>
      </c>
      <c r="AA352">
        <v>1.71</v>
      </c>
      <c r="AB352">
        <v>2.79</v>
      </c>
      <c r="AC352">
        <v>3.29</v>
      </c>
      <c r="AD352">
        <v>0.77</v>
      </c>
      <c r="AE352">
        <v>2.57</v>
      </c>
      <c r="AF352">
        <v>1.926666666666667</v>
      </c>
      <c r="AG352" t="str">
        <f>HYPERLINK("https://finance.naver.com/item/fchart.naver?code=472220", "신영스팩10호 차트보기")</f>
        <v>신영스팩10호 차트보기</v>
      </c>
    </row>
    <row r="353" spans="1:33" x14ac:dyDescent="0.3">
      <c r="A353" t="s">
        <v>1439</v>
      </c>
      <c r="B353" t="s">
        <v>34</v>
      </c>
      <c r="C353" t="s">
        <v>1440</v>
      </c>
      <c r="D353">
        <v>60911.05</v>
      </c>
      <c r="E353" t="s">
        <v>1441</v>
      </c>
      <c r="F353">
        <v>0</v>
      </c>
      <c r="G353">
        <v>0.15999999642372131</v>
      </c>
      <c r="H353">
        <v>0</v>
      </c>
      <c r="I353">
        <v>0</v>
      </c>
      <c r="J353" t="s">
        <v>1442</v>
      </c>
      <c r="K353">
        <v>516</v>
      </c>
      <c r="L353">
        <v>447</v>
      </c>
      <c r="M353">
        <v>-13.37</v>
      </c>
      <c r="N353">
        <v>-1.32</v>
      </c>
      <c r="O353">
        <v>-3.55</v>
      </c>
      <c r="P353">
        <v>0</v>
      </c>
      <c r="Q353">
        <v>-9.14</v>
      </c>
      <c r="R353">
        <v>5.54</v>
      </c>
      <c r="S353">
        <v>-0.76</v>
      </c>
      <c r="T353">
        <v>1.65</v>
      </c>
      <c r="U353">
        <v>0.91</v>
      </c>
      <c r="V353">
        <v>1.28</v>
      </c>
      <c r="W353">
        <v>2.52</v>
      </c>
      <c r="X353">
        <v>2.0499999999999998</v>
      </c>
      <c r="Y353">
        <v>1.41</v>
      </c>
      <c r="Z353">
        <v>0.8</v>
      </c>
      <c r="AA353">
        <v>3.9</v>
      </c>
      <c r="AB353">
        <v>0</v>
      </c>
      <c r="AC353">
        <v>3.63</v>
      </c>
      <c r="AD353">
        <v>2.7</v>
      </c>
      <c r="AE353">
        <v>0.54</v>
      </c>
      <c r="AF353">
        <v>1.928333333333333</v>
      </c>
      <c r="AG353" t="str">
        <f>HYPERLINK("https://finance.naver.com/item/fchart.naver?code=012160", "영흥 차트보기")</f>
        <v>영흥 차트보기</v>
      </c>
    </row>
    <row r="354" spans="1:33" x14ac:dyDescent="0.3">
      <c r="A354" t="s">
        <v>1443</v>
      </c>
      <c r="B354" t="s">
        <v>34</v>
      </c>
      <c r="C354" t="s">
        <v>1444</v>
      </c>
      <c r="D354">
        <v>14826.43</v>
      </c>
      <c r="E354" t="s">
        <v>1445</v>
      </c>
      <c r="F354">
        <v>4.17</v>
      </c>
      <c r="G354">
        <v>0.28999999165534968</v>
      </c>
      <c r="H354">
        <v>3384</v>
      </c>
      <c r="I354">
        <v>5.6700000762939453</v>
      </c>
      <c r="J354" t="s">
        <v>1446</v>
      </c>
      <c r="K354">
        <v>13240</v>
      </c>
      <c r="L354">
        <v>14120</v>
      </c>
      <c r="M354">
        <v>6.65</v>
      </c>
      <c r="N354">
        <v>0.93</v>
      </c>
      <c r="O354">
        <v>5.28</v>
      </c>
      <c r="P354">
        <v>-1.28</v>
      </c>
      <c r="Q354">
        <v>3.09</v>
      </c>
      <c r="R354">
        <v>3.39</v>
      </c>
      <c r="S354">
        <v>1.43</v>
      </c>
      <c r="T354">
        <v>0.55000000000000004</v>
      </c>
      <c r="U354">
        <v>1.88</v>
      </c>
      <c r="V354">
        <v>1.18</v>
      </c>
      <c r="W354">
        <v>2.15</v>
      </c>
      <c r="X354">
        <v>0.93</v>
      </c>
      <c r="Y354">
        <v>1.59</v>
      </c>
      <c r="Z354">
        <v>1.69</v>
      </c>
      <c r="AA354">
        <v>2.81</v>
      </c>
      <c r="AB354">
        <v>1.08</v>
      </c>
      <c r="AC354">
        <v>1.44</v>
      </c>
      <c r="AD354">
        <v>3.65</v>
      </c>
      <c r="AE354">
        <v>0.9</v>
      </c>
      <c r="AF354">
        <v>1.928333333333333</v>
      </c>
      <c r="AG354" t="str">
        <f>HYPERLINK("https://finance.naver.com/item/fchart.naver?code=003300", "한일홀딩스 차트보기")</f>
        <v>한일홀딩스 차트보기</v>
      </c>
    </row>
    <row r="355" spans="1:33" x14ac:dyDescent="0.3">
      <c r="A355" t="s">
        <v>1447</v>
      </c>
      <c r="B355" t="s">
        <v>55</v>
      </c>
      <c r="C355" t="s">
        <v>1448</v>
      </c>
      <c r="D355">
        <v>8840.48</v>
      </c>
      <c r="E355" t="s">
        <v>1449</v>
      </c>
      <c r="F355">
        <v>8.6199999999999992</v>
      </c>
      <c r="G355">
        <v>0.87000000476837158</v>
      </c>
      <c r="H355">
        <v>1934</v>
      </c>
      <c r="I355">
        <v>4.369999885559082</v>
      </c>
      <c r="J355" t="s">
        <v>1450</v>
      </c>
      <c r="K355">
        <v>19450</v>
      </c>
      <c r="L355">
        <v>16670</v>
      </c>
      <c r="M355">
        <v>-14.29</v>
      </c>
      <c r="N355">
        <v>-0.83</v>
      </c>
      <c r="O355">
        <v>-4.54</v>
      </c>
      <c r="P355">
        <v>-5.27</v>
      </c>
      <c r="Q355">
        <v>1.3</v>
      </c>
      <c r="R355">
        <v>-9.15</v>
      </c>
      <c r="S355">
        <v>0.7</v>
      </c>
      <c r="T355">
        <v>1.83</v>
      </c>
      <c r="U355">
        <v>2.27</v>
      </c>
      <c r="V355">
        <v>2.25</v>
      </c>
      <c r="W355">
        <v>2.2400000000000002</v>
      </c>
      <c r="X355">
        <v>1.56</v>
      </c>
      <c r="Y355">
        <v>1.99</v>
      </c>
      <c r="Z355">
        <v>0.45</v>
      </c>
      <c r="AA355">
        <v>2</v>
      </c>
      <c r="AB355">
        <v>2.34</v>
      </c>
      <c r="AC355">
        <v>0.57999999999999996</v>
      </c>
      <c r="AD355">
        <v>5.87</v>
      </c>
      <c r="AE355">
        <v>0.35</v>
      </c>
      <c r="AF355">
        <v>1.9316666666666671</v>
      </c>
      <c r="AG355" t="str">
        <f>HYPERLINK("https://finance.naver.com/item/fchart.naver?code=100030", "인지소프트 차트보기")</f>
        <v>인지소프트 차트보기</v>
      </c>
    </row>
    <row r="356" spans="1:33" x14ac:dyDescent="0.3">
      <c r="A356" t="s">
        <v>1451</v>
      </c>
      <c r="B356" t="s">
        <v>55</v>
      </c>
      <c r="C356" t="s">
        <v>1452</v>
      </c>
      <c r="D356">
        <v>194656.33</v>
      </c>
      <c r="E356" t="s">
        <v>1453</v>
      </c>
      <c r="F356">
        <v>200.31</v>
      </c>
      <c r="G356">
        <v>2.1099998950958252</v>
      </c>
      <c r="H356">
        <v>32</v>
      </c>
      <c r="I356">
        <v>0</v>
      </c>
      <c r="J356" t="s">
        <v>1454</v>
      </c>
      <c r="K356">
        <v>4750</v>
      </c>
      <c r="L356">
        <v>6410</v>
      </c>
      <c r="M356">
        <v>34.950000000000003</v>
      </c>
      <c r="N356">
        <v>3.72</v>
      </c>
      <c r="O356">
        <v>2.0499999999999998</v>
      </c>
      <c r="P356">
        <v>33.549999999999997</v>
      </c>
      <c r="Q356">
        <v>3.37</v>
      </c>
      <c r="R356">
        <v>2.4500000000000002</v>
      </c>
      <c r="S356">
        <v>-3.4</v>
      </c>
      <c r="T356">
        <v>3.37</v>
      </c>
      <c r="U356">
        <v>5.0199999999999996</v>
      </c>
      <c r="V356">
        <v>4.8099999999999996</v>
      </c>
      <c r="W356">
        <v>3.46</v>
      </c>
      <c r="X356">
        <v>3.28</v>
      </c>
      <c r="Y356">
        <v>2.46</v>
      </c>
      <c r="Z356">
        <v>1.1000000000000001</v>
      </c>
      <c r="AA356">
        <v>0.41</v>
      </c>
      <c r="AB356">
        <v>6.98</v>
      </c>
      <c r="AC356">
        <v>0.97</v>
      </c>
      <c r="AD356">
        <v>0.75</v>
      </c>
      <c r="AE356">
        <v>1.38</v>
      </c>
      <c r="AF356">
        <v>1.9316666666666671</v>
      </c>
      <c r="AG356" t="str">
        <f>HYPERLINK("https://finance.naver.com/item/fchart.naver?code=124500", "아이티센 차트보기")</f>
        <v>아이티센 차트보기</v>
      </c>
    </row>
    <row r="357" spans="1:33" x14ac:dyDescent="0.3">
      <c r="A357" t="s">
        <v>1455</v>
      </c>
      <c r="B357" t="s">
        <v>34</v>
      </c>
      <c r="C357" t="s">
        <v>1456</v>
      </c>
      <c r="D357">
        <v>2394.38</v>
      </c>
      <c r="E357" t="s">
        <v>1457</v>
      </c>
      <c r="F357">
        <v>0</v>
      </c>
      <c r="G357">
        <v>0</v>
      </c>
      <c r="H357">
        <v>0</v>
      </c>
      <c r="I357">
        <v>4.2899999618530273</v>
      </c>
      <c r="J357" t="s">
        <v>1458</v>
      </c>
      <c r="K357">
        <v>149000</v>
      </c>
      <c r="L357">
        <v>129300</v>
      </c>
      <c r="M357">
        <v>-13.22</v>
      </c>
      <c r="N357">
        <v>-2.34</v>
      </c>
      <c r="O357">
        <v>-2.29</v>
      </c>
      <c r="P357">
        <v>-0.5</v>
      </c>
      <c r="Q357">
        <v>-8.7100000000000009</v>
      </c>
      <c r="R357">
        <v>1.97</v>
      </c>
      <c r="S357">
        <v>1.1100000000000001</v>
      </c>
      <c r="T357">
        <v>0.97</v>
      </c>
      <c r="U357">
        <v>1.01</v>
      </c>
      <c r="V357">
        <v>0.97</v>
      </c>
      <c r="W357">
        <v>2.0299999999999998</v>
      </c>
      <c r="X357">
        <v>1.35</v>
      </c>
      <c r="Y357">
        <v>1.72</v>
      </c>
      <c r="Z357">
        <v>2.41</v>
      </c>
      <c r="AA357">
        <v>2.27</v>
      </c>
      <c r="AB357">
        <v>0.52</v>
      </c>
      <c r="AC357">
        <v>4.29</v>
      </c>
      <c r="AD357">
        <v>1.46</v>
      </c>
      <c r="AE357">
        <v>0.65</v>
      </c>
      <c r="AF357">
        <v>1.9333333333333329</v>
      </c>
      <c r="AG357" t="str">
        <f>HYPERLINK("https://finance.naver.com/item/fchart.naver?code=097955", "CJ제일제당 우 차트보기")</f>
        <v>CJ제일제당 우 차트보기</v>
      </c>
    </row>
    <row r="358" spans="1:33" x14ac:dyDescent="0.3">
      <c r="A358" t="s">
        <v>1459</v>
      </c>
      <c r="B358" t="s">
        <v>34</v>
      </c>
      <c r="C358" t="s">
        <v>1460</v>
      </c>
      <c r="D358">
        <v>892197.24</v>
      </c>
      <c r="E358" t="s">
        <v>1461</v>
      </c>
      <c r="F358">
        <v>24.4</v>
      </c>
      <c r="G358">
        <v>0.20000000298023221</v>
      </c>
      <c r="H358">
        <v>83</v>
      </c>
      <c r="I358">
        <v>3.7000000476837158</v>
      </c>
      <c r="J358" t="s">
        <v>1462</v>
      </c>
      <c r="K358">
        <v>2180</v>
      </c>
      <c r="L358">
        <v>2025</v>
      </c>
      <c r="M358">
        <v>-7.11</v>
      </c>
      <c r="N358">
        <v>-1.7</v>
      </c>
      <c r="O358">
        <v>-1.65</v>
      </c>
      <c r="P358">
        <v>0.23</v>
      </c>
      <c r="Q358">
        <v>-0.69</v>
      </c>
      <c r="R358">
        <v>-5.91</v>
      </c>
      <c r="S358">
        <v>2.4900000000000002</v>
      </c>
      <c r="T358">
        <v>1.06</v>
      </c>
      <c r="U358">
        <v>3.06</v>
      </c>
      <c r="V358">
        <v>0.96</v>
      </c>
      <c r="W358">
        <v>2.11</v>
      </c>
      <c r="X358">
        <v>0.91</v>
      </c>
      <c r="Y358">
        <v>1.03</v>
      </c>
      <c r="Z358">
        <v>1.6</v>
      </c>
      <c r="AA358">
        <v>0.54</v>
      </c>
      <c r="AB358">
        <v>0.24</v>
      </c>
      <c r="AC358">
        <v>0.33</v>
      </c>
      <c r="AD358">
        <v>6.49</v>
      </c>
      <c r="AE358">
        <v>2.42</v>
      </c>
      <c r="AF358">
        <v>1.936666666666667</v>
      </c>
      <c r="AG358" t="str">
        <f>HYPERLINK("https://finance.naver.com/item/fchart.naver?code=009200", "무림페이퍼 차트보기")</f>
        <v>무림페이퍼 차트보기</v>
      </c>
    </row>
    <row r="359" spans="1:33" x14ac:dyDescent="0.3">
      <c r="A359" t="s">
        <v>1463</v>
      </c>
      <c r="B359" t="s">
        <v>55</v>
      </c>
      <c r="C359" t="s">
        <v>1464</v>
      </c>
      <c r="D359">
        <v>37631.620000000003</v>
      </c>
      <c r="E359" t="s">
        <v>1465</v>
      </c>
      <c r="F359">
        <v>0</v>
      </c>
      <c r="G359">
        <v>1</v>
      </c>
      <c r="H359">
        <v>0</v>
      </c>
      <c r="I359">
        <v>0.76999998092651367</v>
      </c>
      <c r="J359" t="s">
        <v>1466</v>
      </c>
      <c r="K359">
        <v>10760</v>
      </c>
      <c r="L359">
        <v>9790</v>
      </c>
      <c r="M359">
        <v>-9.01</v>
      </c>
      <c r="N359">
        <v>-3.83</v>
      </c>
      <c r="O359">
        <v>2.42</v>
      </c>
      <c r="P359">
        <v>-1.19</v>
      </c>
      <c r="Q359">
        <v>-2.06</v>
      </c>
      <c r="R359">
        <v>-2.69</v>
      </c>
      <c r="S359">
        <v>-1.99</v>
      </c>
      <c r="T359">
        <v>1.08</v>
      </c>
      <c r="U359">
        <v>1.21</v>
      </c>
      <c r="V359">
        <v>0.96</v>
      </c>
      <c r="W359">
        <v>3.81</v>
      </c>
      <c r="X359">
        <v>0.92</v>
      </c>
      <c r="Y359">
        <v>1.45</v>
      </c>
      <c r="Z359">
        <v>3.55</v>
      </c>
      <c r="AA359">
        <v>2</v>
      </c>
      <c r="AB359">
        <v>1.24</v>
      </c>
      <c r="AC359">
        <v>0.54</v>
      </c>
      <c r="AD359">
        <v>2.92</v>
      </c>
      <c r="AE359">
        <v>1.37</v>
      </c>
      <c r="AF359">
        <v>1.936666666666667</v>
      </c>
      <c r="AG359" t="str">
        <f>HYPERLINK("https://finance.naver.com/item/fchart.naver?code=036480", "대성미생물 차트보기")</f>
        <v>대성미생물 차트보기</v>
      </c>
    </row>
    <row r="360" spans="1:33" x14ac:dyDescent="0.3">
      <c r="A360" t="s">
        <v>1467</v>
      </c>
      <c r="B360" t="s">
        <v>34</v>
      </c>
      <c r="C360" t="s">
        <v>1468</v>
      </c>
      <c r="D360">
        <v>2383021.81</v>
      </c>
      <c r="E360" t="s">
        <v>1469</v>
      </c>
      <c r="F360">
        <v>4.9800000000000004</v>
      </c>
      <c r="G360">
        <v>0.37999999523162842</v>
      </c>
      <c r="H360">
        <v>3231</v>
      </c>
      <c r="I360">
        <v>6.2100000381469727</v>
      </c>
      <c r="J360" t="s">
        <v>1470</v>
      </c>
      <c r="K360">
        <v>14640</v>
      </c>
      <c r="L360">
        <v>16100</v>
      </c>
      <c r="M360">
        <v>9.9700000000000006</v>
      </c>
      <c r="N360">
        <v>2.2200000000000002</v>
      </c>
      <c r="O360">
        <v>-0.19</v>
      </c>
      <c r="P360">
        <v>-4.8499999999999996</v>
      </c>
      <c r="Q360">
        <v>1.2</v>
      </c>
      <c r="R360">
        <v>9.31</v>
      </c>
      <c r="S360">
        <v>3.09</v>
      </c>
      <c r="T360">
        <v>0.97</v>
      </c>
      <c r="U360">
        <v>2.06</v>
      </c>
      <c r="V360">
        <v>1.9</v>
      </c>
      <c r="W360">
        <v>2.52</v>
      </c>
      <c r="X360">
        <v>2.67</v>
      </c>
      <c r="Y360">
        <v>1.1299999999999999</v>
      </c>
      <c r="Z360">
        <v>2.29</v>
      </c>
      <c r="AA360">
        <v>0.09</v>
      </c>
      <c r="AB360">
        <v>2.5499999999999998</v>
      </c>
      <c r="AC360">
        <v>0.48</v>
      </c>
      <c r="AD360">
        <v>3.49</v>
      </c>
      <c r="AE360">
        <v>2.73</v>
      </c>
      <c r="AF360">
        <v>1.938333333333333</v>
      </c>
      <c r="AG360" t="str">
        <f>HYPERLINK("https://finance.naver.com/item/fchart.naver?code=316140", "우리금융지주 차트보기")</f>
        <v>우리금융지주 차트보기</v>
      </c>
    </row>
    <row r="361" spans="1:33" x14ac:dyDescent="0.3">
      <c r="A361" t="s">
        <v>1471</v>
      </c>
      <c r="B361" t="s">
        <v>34</v>
      </c>
      <c r="C361" t="s">
        <v>1472</v>
      </c>
      <c r="D361">
        <v>7379.43</v>
      </c>
      <c r="E361" t="s">
        <v>1473</v>
      </c>
      <c r="F361">
        <v>2.67</v>
      </c>
      <c r="G361">
        <v>0.41999998688697809</v>
      </c>
      <c r="H361">
        <v>32032</v>
      </c>
      <c r="I361">
        <v>4.6399998664855957</v>
      </c>
      <c r="J361" t="s">
        <v>1474</v>
      </c>
      <c r="K361">
        <v>89400</v>
      </c>
      <c r="L361">
        <v>85500</v>
      </c>
      <c r="M361">
        <v>-4.3600000000000003</v>
      </c>
      <c r="N361">
        <v>-1.72</v>
      </c>
      <c r="O361">
        <v>-2.65</v>
      </c>
      <c r="P361">
        <v>11.8</v>
      </c>
      <c r="Q361">
        <v>2.2000000000000002</v>
      </c>
      <c r="R361">
        <v>-0.49</v>
      </c>
      <c r="S361">
        <v>-3.28</v>
      </c>
      <c r="T361">
        <v>1.41</v>
      </c>
      <c r="U361">
        <v>1.65</v>
      </c>
      <c r="V361">
        <v>2.5499999999999998</v>
      </c>
      <c r="W361">
        <v>1.47</v>
      </c>
      <c r="X361">
        <v>2.2599999999999998</v>
      </c>
      <c r="Y361">
        <v>1.34</v>
      </c>
      <c r="Z361">
        <v>1.22</v>
      </c>
      <c r="AA361">
        <v>1.61</v>
      </c>
      <c r="AB361">
        <v>4.63</v>
      </c>
      <c r="AC361">
        <v>1.5</v>
      </c>
      <c r="AD361">
        <v>0.22</v>
      </c>
      <c r="AE361">
        <v>2.4500000000000002</v>
      </c>
      <c r="AF361">
        <v>1.9383333333333339</v>
      </c>
      <c r="AG361" t="str">
        <f>HYPERLINK("https://finance.naver.com/item/fchart.naver?code=009970", "영원무역홀딩스 차트보기")</f>
        <v>영원무역홀딩스 차트보기</v>
      </c>
    </row>
    <row r="362" spans="1:33" x14ac:dyDescent="0.3">
      <c r="A362" t="s">
        <v>1475</v>
      </c>
      <c r="B362" t="s">
        <v>55</v>
      </c>
      <c r="C362" t="s">
        <v>1476</v>
      </c>
      <c r="D362">
        <v>23669.62</v>
      </c>
      <c r="E362" t="s">
        <v>1477</v>
      </c>
      <c r="F362">
        <v>54.42</v>
      </c>
      <c r="G362">
        <v>2.7599999904632568</v>
      </c>
      <c r="H362">
        <v>328</v>
      </c>
      <c r="I362">
        <v>0</v>
      </c>
      <c r="J362" t="s">
        <v>1478</v>
      </c>
      <c r="K362">
        <v>30050</v>
      </c>
      <c r="L362">
        <v>17850</v>
      </c>
      <c r="M362">
        <v>-40.6</v>
      </c>
      <c r="N362">
        <v>2</v>
      </c>
      <c r="O362">
        <v>1.63</v>
      </c>
      <c r="P362">
        <v>-2.84</v>
      </c>
      <c r="Q362">
        <v>-20.63</v>
      </c>
      <c r="R362">
        <v>-1.26</v>
      </c>
      <c r="S362">
        <v>-15.08</v>
      </c>
      <c r="T362">
        <v>3.26</v>
      </c>
      <c r="U362">
        <v>1.89</v>
      </c>
      <c r="V362">
        <v>2.69</v>
      </c>
      <c r="W362">
        <v>5.44</v>
      </c>
      <c r="X362">
        <v>2.67</v>
      </c>
      <c r="Y362">
        <v>3.1</v>
      </c>
      <c r="Z362">
        <v>0.61</v>
      </c>
      <c r="AA362">
        <v>0.86</v>
      </c>
      <c r="AB362">
        <v>1.06</v>
      </c>
      <c r="AC362">
        <v>3.79</v>
      </c>
      <c r="AD362">
        <v>0.47</v>
      </c>
      <c r="AE362">
        <v>4.8600000000000003</v>
      </c>
      <c r="AF362">
        <v>1.9416666666666671</v>
      </c>
      <c r="AG362" t="str">
        <f>HYPERLINK("https://finance.naver.com/item/fchart.naver?code=263720", "디앤씨미디어 차트보기")</f>
        <v>디앤씨미디어 차트보기</v>
      </c>
    </row>
    <row r="363" spans="1:33" x14ac:dyDescent="0.3">
      <c r="A363" t="s">
        <v>1479</v>
      </c>
      <c r="B363" t="s">
        <v>55</v>
      </c>
      <c r="C363" t="s">
        <v>1480</v>
      </c>
      <c r="D363">
        <v>168892.19</v>
      </c>
      <c r="E363" t="s">
        <v>1481</v>
      </c>
      <c r="F363">
        <v>10.53</v>
      </c>
      <c r="G363">
        <v>0.54000002145767212</v>
      </c>
      <c r="H363">
        <v>237</v>
      </c>
      <c r="I363">
        <v>2</v>
      </c>
      <c r="J363" t="s">
        <v>1482</v>
      </c>
      <c r="K363">
        <v>3365</v>
      </c>
      <c r="L363">
        <v>2495</v>
      </c>
      <c r="M363">
        <v>-25.85</v>
      </c>
      <c r="N363">
        <v>0.6</v>
      </c>
      <c r="O363">
        <v>-2.96</v>
      </c>
      <c r="P363">
        <v>-0.2</v>
      </c>
      <c r="Q363">
        <v>-2.81</v>
      </c>
      <c r="R363">
        <v>-9.73</v>
      </c>
      <c r="S363">
        <v>-5.1100000000000003</v>
      </c>
      <c r="T363">
        <v>1.21</v>
      </c>
      <c r="U363">
        <v>1.72</v>
      </c>
      <c r="V363">
        <v>1.8</v>
      </c>
      <c r="W363">
        <v>5.81</v>
      </c>
      <c r="X363">
        <v>1.72</v>
      </c>
      <c r="Y363">
        <v>1.6</v>
      </c>
      <c r="Z363">
        <v>0.5</v>
      </c>
      <c r="AA363">
        <v>1.72</v>
      </c>
      <c r="AB363">
        <v>0.11</v>
      </c>
      <c r="AC363">
        <v>0.48</v>
      </c>
      <c r="AD363">
        <v>5.66</v>
      </c>
      <c r="AE363">
        <v>3.19</v>
      </c>
      <c r="AF363">
        <v>1.9433333333333329</v>
      </c>
      <c r="AG363" t="str">
        <f>HYPERLINK("https://finance.naver.com/item/fchart.naver?code=138070", "신진에스엠 차트보기")</f>
        <v>신진에스엠 차트보기</v>
      </c>
    </row>
    <row r="364" spans="1:33" x14ac:dyDescent="0.3">
      <c r="A364" t="s">
        <v>1483</v>
      </c>
      <c r="B364" t="s">
        <v>34</v>
      </c>
      <c r="C364" t="s">
        <v>1484</v>
      </c>
      <c r="D364">
        <v>13169.19</v>
      </c>
      <c r="E364" t="s">
        <v>1485</v>
      </c>
      <c r="F364">
        <v>3.54</v>
      </c>
      <c r="G364">
        <v>0.28999999165534968</v>
      </c>
      <c r="H364">
        <v>1093</v>
      </c>
      <c r="I364">
        <v>1.549999952316284</v>
      </c>
      <c r="J364" t="s">
        <v>1486</v>
      </c>
      <c r="K364">
        <v>4295</v>
      </c>
      <c r="L364">
        <v>3865</v>
      </c>
      <c r="M364">
        <v>-10.01</v>
      </c>
      <c r="N364">
        <v>0.65</v>
      </c>
      <c r="O364">
        <v>-3.07</v>
      </c>
      <c r="P364">
        <v>-2.37</v>
      </c>
      <c r="Q364">
        <v>-5.64</v>
      </c>
      <c r="R364">
        <v>-1.39</v>
      </c>
      <c r="S364">
        <v>-4.4400000000000004</v>
      </c>
      <c r="T364">
        <v>0.93</v>
      </c>
      <c r="U364">
        <v>0.94</v>
      </c>
      <c r="V364">
        <v>1.21</v>
      </c>
      <c r="W364">
        <v>2.71</v>
      </c>
      <c r="X364">
        <v>0.94</v>
      </c>
      <c r="Y364">
        <v>2.0499999999999998</v>
      </c>
      <c r="Z364">
        <v>0.7</v>
      </c>
      <c r="AA364">
        <v>3.27</v>
      </c>
      <c r="AB364">
        <v>1.96</v>
      </c>
      <c r="AC364">
        <v>2.08</v>
      </c>
      <c r="AD364">
        <v>1.48</v>
      </c>
      <c r="AE364">
        <v>2.17</v>
      </c>
      <c r="AF364">
        <v>1.9433333333333329</v>
      </c>
      <c r="AG364" t="str">
        <f>HYPERLINK("https://finance.naver.com/item/fchart.naver?code=155660", "DSR 차트보기")</f>
        <v>DSR 차트보기</v>
      </c>
    </row>
    <row r="365" spans="1:33" x14ac:dyDescent="0.3">
      <c r="A365" t="s">
        <v>1487</v>
      </c>
      <c r="B365" t="s">
        <v>55</v>
      </c>
      <c r="C365" t="s">
        <v>1488</v>
      </c>
      <c r="D365">
        <v>91401.76</v>
      </c>
      <c r="E365" t="s">
        <v>1489</v>
      </c>
      <c r="F365">
        <v>14.23</v>
      </c>
      <c r="G365">
        <v>1.190000057220459</v>
      </c>
      <c r="H365">
        <v>338</v>
      </c>
      <c r="I365">
        <v>1.2899999618530269</v>
      </c>
      <c r="J365" t="s">
        <v>1490</v>
      </c>
      <c r="K365">
        <v>6090</v>
      </c>
      <c r="L365">
        <v>4810</v>
      </c>
      <c r="M365">
        <v>-21.02</v>
      </c>
      <c r="N365">
        <v>-2.2400000000000002</v>
      </c>
      <c r="O365">
        <v>-4.09</v>
      </c>
      <c r="P365">
        <v>-3.33</v>
      </c>
      <c r="Q365">
        <v>-2.82</v>
      </c>
      <c r="R365">
        <v>-3.61</v>
      </c>
      <c r="S365">
        <v>-1.86</v>
      </c>
      <c r="T365">
        <v>1.3</v>
      </c>
      <c r="U365">
        <v>1.1499999999999999</v>
      </c>
      <c r="V365">
        <v>1.76</v>
      </c>
      <c r="W365">
        <v>4.41</v>
      </c>
      <c r="X365">
        <v>1.25</v>
      </c>
      <c r="Y365">
        <v>1.91</v>
      </c>
      <c r="Z365">
        <v>1.72</v>
      </c>
      <c r="AA365">
        <v>3.56</v>
      </c>
      <c r="AB365">
        <v>1.89</v>
      </c>
      <c r="AC365">
        <v>0.64</v>
      </c>
      <c r="AD365">
        <v>2.89</v>
      </c>
      <c r="AE365">
        <v>0.97</v>
      </c>
      <c r="AF365">
        <v>1.9450000000000001</v>
      </c>
      <c r="AG365" t="str">
        <f>HYPERLINK("https://finance.naver.com/item/fchart.naver?code=032850", "비트컴퓨터 차트보기")</f>
        <v>비트컴퓨터 차트보기</v>
      </c>
    </row>
    <row r="366" spans="1:33" x14ac:dyDescent="0.3">
      <c r="A366" t="s">
        <v>1491</v>
      </c>
      <c r="B366" t="s">
        <v>34</v>
      </c>
      <c r="C366" t="s">
        <v>1492</v>
      </c>
      <c r="D366">
        <v>58027</v>
      </c>
      <c r="E366" t="s">
        <v>1493</v>
      </c>
      <c r="F366">
        <v>1.37</v>
      </c>
      <c r="G366">
        <v>0.239999994635582</v>
      </c>
      <c r="H366">
        <v>5174</v>
      </c>
      <c r="I366">
        <v>2.1099998950958252</v>
      </c>
      <c r="J366" t="s">
        <v>1494</v>
      </c>
      <c r="K366">
        <v>9520</v>
      </c>
      <c r="L366">
        <v>7100</v>
      </c>
      <c r="M366">
        <v>-25.42</v>
      </c>
      <c r="N366">
        <v>-0.14000000000000001</v>
      </c>
      <c r="O366">
        <v>1.26</v>
      </c>
      <c r="P366">
        <v>-5.12</v>
      </c>
      <c r="Q366">
        <v>-6.4</v>
      </c>
      <c r="R366">
        <v>-10.55</v>
      </c>
      <c r="S366">
        <v>1.68</v>
      </c>
      <c r="T366">
        <v>2.37</v>
      </c>
      <c r="U366">
        <v>1.78</v>
      </c>
      <c r="V366">
        <v>2.25</v>
      </c>
      <c r="W366">
        <v>3.86</v>
      </c>
      <c r="X366">
        <v>1.71</v>
      </c>
      <c r="Y366">
        <v>2.11</v>
      </c>
      <c r="Z366">
        <v>0.06</v>
      </c>
      <c r="AA366">
        <v>0.71</v>
      </c>
      <c r="AB366">
        <v>2.2799999999999998</v>
      </c>
      <c r="AC366">
        <v>1.66</v>
      </c>
      <c r="AD366">
        <v>6.17</v>
      </c>
      <c r="AE366">
        <v>0.8</v>
      </c>
      <c r="AF366">
        <v>1.946666666666667</v>
      </c>
      <c r="AG366" t="str">
        <f>HYPERLINK("https://finance.naver.com/item/fchart.naver?code=007860", "서연 차트보기")</f>
        <v>서연 차트보기</v>
      </c>
    </row>
    <row r="367" spans="1:33" x14ac:dyDescent="0.3">
      <c r="A367" t="s">
        <v>1495</v>
      </c>
      <c r="B367" t="s">
        <v>34</v>
      </c>
      <c r="C367" t="s">
        <v>1496</v>
      </c>
      <c r="D367">
        <v>27469.52</v>
      </c>
      <c r="E367" t="s">
        <v>1497</v>
      </c>
      <c r="F367">
        <v>0</v>
      </c>
      <c r="G367">
        <v>0</v>
      </c>
      <c r="H367">
        <v>0</v>
      </c>
      <c r="I367">
        <v>1.879999995231628</v>
      </c>
      <c r="J367" t="s">
        <v>1498</v>
      </c>
      <c r="K367">
        <v>44850</v>
      </c>
      <c r="L367">
        <v>45300</v>
      </c>
      <c r="M367">
        <v>1</v>
      </c>
      <c r="N367">
        <v>-0.77</v>
      </c>
      <c r="O367">
        <v>-9.39</v>
      </c>
      <c r="P367">
        <v>3.21</v>
      </c>
      <c r="Q367">
        <v>-0.41</v>
      </c>
      <c r="R367">
        <v>-1.53</v>
      </c>
      <c r="S367">
        <v>3.73</v>
      </c>
      <c r="T367">
        <v>1.63</v>
      </c>
      <c r="U367">
        <v>1.55</v>
      </c>
      <c r="V367">
        <v>2.15</v>
      </c>
      <c r="W367">
        <v>2.39</v>
      </c>
      <c r="X367">
        <v>1.34</v>
      </c>
      <c r="Y367">
        <v>1.59</v>
      </c>
      <c r="Z367">
        <v>0.47</v>
      </c>
      <c r="AA367">
        <v>6.06</v>
      </c>
      <c r="AB367">
        <v>1.49</v>
      </c>
      <c r="AC367">
        <v>0.17</v>
      </c>
      <c r="AD367">
        <v>1.1399999999999999</v>
      </c>
      <c r="AE367">
        <v>2.35</v>
      </c>
      <c r="AF367">
        <v>1.946666666666667</v>
      </c>
      <c r="AG367" t="str">
        <f>HYPERLINK("https://finance.naver.com/item/fchart.naver?code=066575", "LG전자우 차트보기")</f>
        <v>LG전자우 차트보기</v>
      </c>
    </row>
    <row r="368" spans="1:33" x14ac:dyDescent="0.3">
      <c r="A368" t="s">
        <v>1499</v>
      </c>
      <c r="B368" t="s">
        <v>55</v>
      </c>
      <c r="C368" t="s">
        <v>1500</v>
      </c>
      <c r="D368">
        <v>4783.05</v>
      </c>
      <c r="E368" t="s">
        <v>1501</v>
      </c>
      <c r="F368">
        <v>1.1599999999999999</v>
      </c>
      <c r="G368">
        <v>0.15999999642372131</v>
      </c>
      <c r="H368">
        <v>1703</v>
      </c>
      <c r="I368">
        <v>0</v>
      </c>
      <c r="J368" t="s">
        <v>1502</v>
      </c>
      <c r="K368">
        <v>2125</v>
      </c>
      <c r="L368">
        <v>1968</v>
      </c>
      <c r="M368">
        <v>-7.39</v>
      </c>
      <c r="N368">
        <v>0.31</v>
      </c>
      <c r="O368">
        <v>0.2</v>
      </c>
      <c r="P368">
        <v>-3.83</v>
      </c>
      <c r="Q368">
        <v>1.2</v>
      </c>
      <c r="R368">
        <v>-3.47</v>
      </c>
      <c r="S368">
        <v>3.5</v>
      </c>
      <c r="T368">
        <v>0.87</v>
      </c>
      <c r="U368">
        <v>0.75</v>
      </c>
      <c r="V368">
        <v>0.85</v>
      </c>
      <c r="W368">
        <v>2.46</v>
      </c>
      <c r="X368">
        <v>1.22</v>
      </c>
      <c r="Y368">
        <v>1.0900000000000001</v>
      </c>
      <c r="Z368">
        <v>0.36</v>
      </c>
      <c r="AA368">
        <v>0.27</v>
      </c>
      <c r="AB368">
        <v>4.51</v>
      </c>
      <c r="AC368">
        <v>0.49</v>
      </c>
      <c r="AD368">
        <v>2.84</v>
      </c>
      <c r="AE368">
        <v>3.21</v>
      </c>
      <c r="AF368">
        <v>1.946666666666667</v>
      </c>
      <c r="AG368" t="str">
        <f>HYPERLINK("https://finance.naver.com/item/fchart.naver?code=024800", "유성티엔에스 차트보기")</f>
        <v>유성티엔에스 차트보기</v>
      </c>
    </row>
    <row r="369" spans="1:33" x14ac:dyDescent="0.3">
      <c r="A369" t="s">
        <v>1503</v>
      </c>
      <c r="B369" t="s">
        <v>55</v>
      </c>
      <c r="C369" t="s">
        <v>1504</v>
      </c>
      <c r="D369">
        <v>57374</v>
      </c>
      <c r="E369" t="s">
        <v>1505</v>
      </c>
      <c r="F369">
        <v>7.13</v>
      </c>
      <c r="G369">
        <v>0.79000002145767212</v>
      </c>
      <c r="H369">
        <v>1047</v>
      </c>
      <c r="I369">
        <v>4.3000001907348633</v>
      </c>
      <c r="J369" t="s">
        <v>1506</v>
      </c>
      <c r="K369">
        <v>8880</v>
      </c>
      <c r="L369">
        <v>7470</v>
      </c>
      <c r="M369">
        <v>-15.88</v>
      </c>
      <c r="N369">
        <v>-0.53</v>
      </c>
      <c r="O369">
        <v>8.64</v>
      </c>
      <c r="P369">
        <v>0.14000000000000001</v>
      </c>
      <c r="Q369">
        <v>-9.69</v>
      </c>
      <c r="R369">
        <v>-1.3</v>
      </c>
      <c r="S369">
        <v>-3.58</v>
      </c>
      <c r="T369">
        <v>2.4900000000000002</v>
      </c>
      <c r="U369">
        <v>1.76</v>
      </c>
      <c r="V369">
        <v>2.04</v>
      </c>
      <c r="W369">
        <v>3.22</v>
      </c>
      <c r="X369">
        <v>1.45</v>
      </c>
      <c r="Y369">
        <v>1.38</v>
      </c>
      <c r="Z369">
        <v>0.21</v>
      </c>
      <c r="AA369">
        <v>4.91</v>
      </c>
      <c r="AB369">
        <v>7.0000000000000007E-2</v>
      </c>
      <c r="AC369">
        <v>3.01</v>
      </c>
      <c r="AD369">
        <v>0.9</v>
      </c>
      <c r="AE369">
        <v>2.59</v>
      </c>
      <c r="AF369">
        <v>1.948333333333333</v>
      </c>
      <c r="AG369" t="str">
        <f>HYPERLINK("https://finance.naver.com/item/fchart.naver?code=216050", "인크로스 차트보기")</f>
        <v>인크로스 차트보기</v>
      </c>
    </row>
    <row r="370" spans="1:33" x14ac:dyDescent="0.3">
      <c r="A370" t="s">
        <v>1507</v>
      </c>
      <c r="B370" t="s">
        <v>55</v>
      </c>
      <c r="C370" t="s">
        <v>1508</v>
      </c>
      <c r="D370">
        <v>67092.289999999994</v>
      </c>
      <c r="E370" t="s">
        <v>1509</v>
      </c>
      <c r="F370">
        <v>0</v>
      </c>
      <c r="G370">
        <v>0.68000000715255737</v>
      </c>
      <c r="H370">
        <v>0</v>
      </c>
      <c r="I370">
        <v>3.059999942779541</v>
      </c>
      <c r="J370" t="s">
        <v>1510</v>
      </c>
      <c r="K370">
        <v>6230</v>
      </c>
      <c r="L370">
        <v>4895</v>
      </c>
      <c r="M370">
        <v>-21.43</v>
      </c>
      <c r="N370">
        <v>-0.1</v>
      </c>
      <c r="O370">
        <v>-2</v>
      </c>
      <c r="P370">
        <v>-5.65</v>
      </c>
      <c r="Q370">
        <v>-4.6399999999999997</v>
      </c>
      <c r="R370">
        <v>-0.9</v>
      </c>
      <c r="S370">
        <v>-10.77</v>
      </c>
      <c r="T370">
        <v>0.92</v>
      </c>
      <c r="U370">
        <v>1.25</v>
      </c>
      <c r="V370">
        <v>1.68</v>
      </c>
      <c r="W370">
        <v>4.84</v>
      </c>
      <c r="X370">
        <v>1.7</v>
      </c>
      <c r="Y370">
        <v>2.1</v>
      </c>
      <c r="Z370">
        <v>0.11</v>
      </c>
      <c r="AA370">
        <v>1.6</v>
      </c>
      <c r="AB370">
        <v>3.36</v>
      </c>
      <c r="AC370">
        <v>0.96</v>
      </c>
      <c r="AD370">
        <v>0.53</v>
      </c>
      <c r="AE370">
        <v>5.13</v>
      </c>
      <c r="AF370">
        <v>1.948333333333333</v>
      </c>
      <c r="AG370" t="str">
        <f>HYPERLINK("https://finance.naver.com/item/fchart.naver?code=014570", "고려제약 차트보기")</f>
        <v>고려제약 차트보기</v>
      </c>
    </row>
    <row r="371" spans="1:33" x14ac:dyDescent="0.3">
      <c r="A371" t="s">
        <v>1511</v>
      </c>
      <c r="B371" t="s">
        <v>34</v>
      </c>
      <c r="C371" t="s">
        <v>1512</v>
      </c>
      <c r="D371">
        <v>85874.62</v>
      </c>
      <c r="E371" t="s">
        <v>1513</v>
      </c>
      <c r="F371">
        <v>5.58</v>
      </c>
      <c r="G371">
        <v>0.43000000715255737</v>
      </c>
      <c r="H371">
        <v>7147</v>
      </c>
      <c r="I371">
        <v>5.0199999809265137</v>
      </c>
      <c r="J371" t="s">
        <v>1514</v>
      </c>
      <c r="K371">
        <v>46600</v>
      </c>
      <c r="L371">
        <v>39850</v>
      </c>
      <c r="M371">
        <v>-14.48</v>
      </c>
      <c r="N371">
        <v>-6.57</v>
      </c>
      <c r="O371">
        <v>-2.3199999999999998</v>
      </c>
      <c r="P371">
        <v>-0.1</v>
      </c>
      <c r="Q371">
        <v>3.29</v>
      </c>
      <c r="R371">
        <v>3.11</v>
      </c>
      <c r="S371">
        <v>-7</v>
      </c>
      <c r="T371">
        <v>2.73</v>
      </c>
      <c r="U371">
        <v>2.1</v>
      </c>
      <c r="V371">
        <v>3.03</v>
      </c>
      <c r="W371">
        <v>2.4900000000000002</v>
      </c>
      <c r="X371">
        <v>1.6</v>
      </c>
      <c r="Y371">
        <v>1.43</v>
      </c>
      <c r="Z371">
        <v>2.41</v>
      </c>
      <c r="AA371">
        <v>1.1000000000000001</v>
      </c>
      <c r="AB371">
        <v>0.03</v>
      </c>
      <c r="AC371">
        <v>1.32</v>
      </c>
      <c r="AD371">
        <v>1.94</v>
      </c>
      <c r="AE371">
        <v>4.9000000000000004</v>
      </c>
      <c r="AF371">
        <v>1.95</v>
      </c>
      <c r="AG371" t="str">
        <f>HYPERLINK("https://finance.naver.com/item/fchart.naver?code=004000", "롯데정밀화학 차트보기")</f>
        <v>롯데정밀화학 차트보기</v>
      </c>
    </row>
    <row r="372" spans="1:33" x14ac:dyDescent="0.3">
      <c r="A372" t="s">
        <v>1515</v>
      </c>
      <c r="B372" t="s">
        <v>55</v>
      </c>
      <c r="C372" t="s">
        <v>1516</v>
      </c>
      <c r="D372">
        <v>1222503.05</v>
      </c>
      <c r="E372" t="s">
        <v>1517</v>
      </c>
      <c r="F372">
        <v>34.78</v>
      </c>
      <c r="G372">
        <v>1.7899999618530269</v>
      </c>
      <c r="H372">
        <v>89</v>
      </c>
      <c r="I372">
        <v>0</v>
      </c>
      <c r="J372" t="s">
        <v>1518</v>
      </c>
      <c r="K372">
        <v>3735</v>
      </c>
      <c r="L372">
        <v>3095</v>
      </c>
      <c r="M372">
        <v>-17.14</v>
      </c>
      <c r="N372">
        <v>4.21</v>
      </c>
      <c r="O372">
        <v>-3.8</v>
      </c>
      <c r="P372">
        <v>10.49</v>
      </c>
      <c r="Q372">
        <v>-10.33</v>
      </c>
      <c r="R372">
        <v>-9.92</v>
      </c>
      <c r="S372">
        <v>-5.51</v>
      </c>
      <c r="T372">
        <v>2.1</v>
      </c>
      <c r="U372">
        <v>2.7</v>
      </c>
      <c r="V372">
        <v>7.65</v>
      </c>
      <c r="W372">
        <v>4.2</v>
      </c>
      <c r="X372">
        <v>2.99</v>
      </c>
      <c r="Y372">
        <v>4.83</v>
      </c>
      <c r="Z372">
        <v>2</v>
      </c>
      <c r="AA372">
        <v>1.41</v>
      </c>
      <c r="AB372">
        <v>1.37</v>
      </c>
      <c r="AC372">
        <v>2.46</v>
      </c>
      <c r="AD372">
        <v>3.32</v>
      </c>
      <c r="AE372">
        <v>1.1399999999999999</v>
      </c>
      <c r="AF372">
        <v>1.95</v>
      </c>
      <c r="AG372" t="str">
        <f>HYPERLINK("https://finance.naver.com/item/fchart.naver?code=006910", "보성파워텍 차트보기")</f>
        <v>보성파워텍 차트보기</v>
      </c>
    </row>
    <row r="373" spans="1:33" x14ac:dyDescent="0.3">
      <c r="A373" t="s">
        <v>1519</v>
      </c>
      <c r="B373" t="s">
        <v>55</v>
      </c>
      <c r="C373" t="s">
        <v>1520</v>
      </c>
      <c r="D373">
        <v>203614.81</v>
      </c>
      <c r="E373" t="s">
        <v>1521</v>
      </c>
      <c r="F373">
        <v>20.74</v>
      </c>
      <c r="G373">
        <v>1.360000014305115</v>
      </c>
      <c r="H373">
        <v>242</v>
      </c>
      <c r="I373">
        <v>0.80000001192092896</v>
      </c>
      <c r="J373" t="s">
        <v>1522</v>
      </c>
      <c r="K373">
        <v>5240</v>
      </c>
      <c r="L373">
        <v>5020</v>
      </c>
      <c r="M373">
        <v>-4.2</v>
      </c>
      <c r="N373">
        <v>-2.14</v>
      </c>
      <c r="O373">
        <v>2.61</v>
      </c>
      <c r="P373">
        <v>-0.79</v>
      </c>
      <c r="Q373">
        <v>-6.94</v>
      </c>
      <c r="R373">
        <v>-3.52</v>
      </c>
      <c r="S373">
        <v>1.71</v>
      </c>
      <c r="T373">
        <v>1.7</v>
      </c>
      <c r="U373">
        <v>1.2</v>
      </c>
      <c r="V373">
        <v>1.46</v>
      </c>
      <c r="W373">
        <v>2.87</v>
      </c>
      <c r="X373">
        <v>0.79</v>
      </c>
      <c r="Y373">
        <v>1.99</v>
      </c>
      <c r="Z373">
        <v>1.26</v>
      </c>
      <c r="AA373">
        <v>2.17</v>
      </c>
      <c r="AB373">
        <v>0.54</v>
      </c>
      <c r="AC373">
        <v>2.42</v>
      </c>
      <c r="AD373">
        <v>4.46</v>
      </c>
      <c r="AE373">
        <v>0.86</v>
      </c>
      <c r="AF373">
        <v>1.951666666666666</v>
      </c>
      <c r="AG373" t="str">
        <f>HYPERLINK("https://finance.naver.com/item/fchart.naver?code=044960", "이글벳 차트보기")</f>
        <v>이글벳 차트보기</v>
      </c>
    </row>
    <row r="374" spans="1:33" x14ac:dyDescent="0.3">
      <c r="A374" t="s">
        <v>1523</v>
      </c>
      <c r="B374" t="s">
        <v>34</v>
      </c>
      <c r="C374" t="s">
        <v>1524</v>
      </c>
      <c r="D374">
        <v>420.81</v>
      </c>
      <c r="E374" t="s">
        <v>1525</v>
      </c>
      <c r="F374">
        <v>0</v>
      </c>
      <c r="G374">
        <v>0.119999997317791</v>
      </c>
      <c r="H374">
        <v>0</v>
      </c>
      <c r="I374">
        <v>0</v>
      </c>
      <c r="J374" t="s">
        <v>1526</v>
      </c>
      <c r="K374">
        <v>20650</v>
      </c>
      <c r="L374">
        <v>19230</v>
      </c>
      <c r="M374">
        <v>-6.88</v>
      </c>
      <c r="N374">
        <v>0.16</v>
      </c>
      <c r="O374">
        <v>0.89</v>
      </c>
      <c r="P374">
        <v>2.4300000000000002</v>
      </c>
      <c r="Q374">
        <v>-4.34</v>
      </c>
      <c r="R374">
        <v>-2.87</v>
      </c>
      <c r="S374">
        <v>2.17</v>
      </c>
      <c r="T374">
        <v>1.07</v>
      </c>
      <c r="U374">
        <v>1.72</v>
      </c>
      <c r="V374">
        <v>1.33</v>
      </c>
      <c r="W374">
        <v>2.4700000000000002</v>
      </c>
      <c r="X374">
        <v>0.76</v>
      </c>
      <c r="Y374">
        <v>0.59</v>
      </c>
      <c r="Z374">
        <v>0.15</v>
      </c>
      <c r="AA374">
        <v>0.52</v>
      </c>
      <c r="AB374">
        <v>1.83</v>
      </c>
      <c r="AC374">
        <v>1.76</v>
      </c>
      <c r="AD374">
        <v>3.78</v>
      </c>
      <c r="AE374">
        <v>3.68</v>
      </c>
      <c r="AF374">
        <v>1.9533333333333329</v>
      </c>
      <c r="AG374" t="str">
        <f>HYPERLINK("https://finance.naver.com/item/fchart.naver?code=000950", "전방 차트보기")</f>
        <v>전방 차트보기</v>
      </c>
    </row>
    <row r="375" spans="1:33" x14ac:dyDescent="0.3">
      <c r="A375" t="s">
        <v>1527</v>
      </c>
      <c r="B375" t="s">
        <v>55</v>
      </c>
      <c r="C375" t="s">
        <v>1528</v>
      </c>
      <c r="D375">
        <v>14114.71</v>
      </c>
      <c r="E375" t="s">
        <v>1529</v>
      </c>
      <c r="F375">
        <v>0</v>
      </c>
      <c r="G375">
        <v>0</v>
      </c>
      <c r="H375">
        <v>0</v>
      </c>
      <c r="I375">
        <v>0</v>
      </c>
      <c r="J375" t="s">
        <v>1530</v>
      </c>
      <c r="K375">
        <v>2085</v>
      </c>
      <c r="L375">
        <v>2040</v>
      </c>
      <c r="M375">
        <v>-2.16</v>
      </c>
      <c r="N375">
        <v>0</v>
      </c>
      <c r="O375">
        <v>-0.97</v>
      </c>
      <c r="P375">
        <v>-0.97</v>
      </c>
      <c r="Q375">
        <v>-1.89</v>
      </c>
      <c r="R375">
        <v>1.93</v>
      </c>
      <c r="S375">
        <v>-0.24</v>
      </c>
      <c r="T375">
        <v>0.17</v>
      </c>
      <c r="U375">
        <v>0.42</v>
      </c>
      <c r="V375">
        <v>0.45</v>
      </c>
      <c r="W375">
        <v>0.87</v>
      </c>
      <c r="X375">
        <v>0.43</v>
      </c>
      <c r="Y375">
        <v>0.41</v>
      </c>
      <c r="Z375">
        <v>0</v>
      </c>
      <c r="AA375">
        <v>2.31</v>
      </c>
      <c r="AB375">
        <v>2.16</v>
      </c>
      <c r="AC375">
        <v>2.17</v>
      </c>
      <c r="AD375">
        <v>4.49</v>
      </c>
      <c r="AE375">
        <v>0.59</v>
      </c>
      <c r="AF375">
        <v>1.9533333333333329</v>
      </c>
      <c r="AG375" t="str">
        <f>HYPERLINK("https://finance.naver.com/item/fchart.naver?code=469880", "하나30호스팩 차트보기")</f>
        <v>하나30호스팩 차트보기</v>
      </c>
    </row>
    <row r="376" spans="1:33" x14ac:dyDescent="0.3">
      <c r="A376" t="s">
        <v>1531</v>
      </c>
      <c r="B376" t="s">
        <v>55</v>
      </c>
      <c r="C376" t="s">
        <v>1532</v>
      </c>
      <c r="D376">
        <v>4458.8999999999996</v>
      </c>
      <c r="E376" t="s">
        <v>1533</v>
      </c>
      <c r="F376">
        <v>0</v>
      </c>
      <c r="G376">
        <v>0</v>
      </c>
      <c r="H376">
        <v>0</v>
      </c>
      <c r="I376">
        <v>0</v>
      </c>
      <c r="J376" t="s">
        <v>1534</v>
      </c>
      <c r="K376">
        <v>2155</v>
      </c>
      <c r="L376">
        <v>2070</v>
      </c>
      <c r="M376">
        <v>-3.94</v>
      </c>
      <c r="N376">
        <v>-2.13</v>
      </c>
      <c r="O376">
        <v>-0.71</v>
      </c>
      <c r="P376">
        <v>-0.71</v>
      </c>
      <c r="Q376">
        <v>-2.75</v>
      </c>
      <c r="R376">
        <v>-0.69</v>
      </c>
      <c r="S376">
        <v>1.39</v>
      </c>
      <c r="T376">
        <v>0.67</v>
      </c>
      <c r="U376">
        <v>1.07</v>
      </c>
      <c r="V376">
        <v>0.85</v>
      </c>
      <c r="W376">
        <v>0.86</v>
      </c>
      <c r="X376">
        <v>0.41</v>
      </c>
      <c r="Y376">
        <v>0.64</v>
      </c>
      <c r="Z376">
        <v>3.18</v>
      </c>
      <c r="AA376">
        <v>0.66</v>
      </c>
      <c r="AB376">
        <v>0.84</v>
      </c>
      <c r="AC376">
        <v>3.2</v>
      </c>
      <c r="AD376">
        <v>1.68</v>
      </c>
      <c r="AE376">
        <v>2.17</v>
      </c>
      <c r="AF376">
        <v>1.9550000000000001</v>
      </c>
      <c r="AG376" t="str">
        <f>HYPERLINK("https://finance.naver.com/item/fchart.naver?code=455310", "한화플러스제4호스팩 차트보기")</f>
        <v>한화플러스제4호스팩 차트보기</v>
      </c>
    </row>
    <row r="377" spans="1:33" x14ac:dyDescent="0.3">
      <c r="A377" t="s">
        <v>1535</v>
      </c>
      <c r="B377" t="s">
        <v>34</v>
      </c>
      <c r="C377" t="s">
        <v>1536</v>
      </c>
      <c r="D377">
        <v>1297830.71</v>
      </c>
      <c r="E377" t="s">
        <v>1537</v>
      </c>
      <c r="F377">
        <v>23.51</v>
      </c>
      <c r="G377">
        <v>1.7699999809265139</v>
      </c>
      <c r="H377">
        <v>519</v>
      </c>
      <c r="I377">
        <v>0</v>
      </c>
      <c r="J377" t="s">
        <v>1538</v>
      </c>
      <c r="K377">
        <v>18580</v>
      </c>
      <c r="L377">
        <v>12200</v>
      </c>
      <c r="M377">
        <v>-34.340000000000003</v>
      </c>
      <c r="N377">
        <v>6.83</v>
      </c>
      <c r="O377">
        <v>-1.76</v>
      </c>
      <c r="P377">
        <v>-0.5</v>
      </c>
      <c r="Q377">
        <v>-12.14</v>
      </c>
      <c r="R377">
        <v>-13.7</v>
      </c>
      <c r="S377">
        <v>-0.18</v>
      </c>
      <c r="T377">
        <v>2.13</v>
      </c>
      <c r="U377">
        <v>3.7</v>
      </c>
      <c r="V377">
        <v>2.36</v>
      </c>
      <c r="W377">
        <v>4.12</v>
      </c>
      <c r="X377">
        <v>2.85</v>
      </c>
      <c r="Y377">
        <v>2.7</v>
      </c>
      <c r="Z377">
        <v>3.21</v>
      </c>
      <c r="AA377">
        <v>0.48</v>
      </c>
      <c r="AB377">
        <v>0.21</v>
      </c>
      <c r="AC377">
        <v>2.95</v>
      </c>
      <c r="AD377">
        <v>4.8099999999999996</v>
      </c>
      <c r="AE377">
        <v>7.0000000000000007E-2</v>
      </c>
      <c r="AF377">
        <v>1.9550000000000001</v>
      </c>
      <c r="AG377" t="str">
        <f>HYPERLINK("https://finance.naver.com/item/fchart.naver?code=001440", "대한전선 차트보기")</f>
        <v>대한전선 차트보기</v>
      </c>
    </row>
    <row r="378" spans="1:33" x14ac:dyDescent="0.3">
      <c r="A378" t="s">
        <v>1539</v>
      </c>
      <c r="B378" t="s">
        <v>55</v>
      </c>
      <c r="C378" t="s">
        <v>1540</v>
      </c>
      <c r="D378">
        <v>18474.95</v>
      </c>
      <c r="E378" t="s">
        <v>1541</v>
      </c>
      <c r="F378">
        <v>0</v>
      </c>
      <c r="G378">
        <v>0.27000001072883612</v>
      </c>
      <c r="H378">
        <v>0</v>
      </c>
      <c r="I378">
        <v>3.5199999809265141</v>
      </c>
      <c r="J378" t="s">
        <v>1542</v>
      </c>
      <c r="K378">
        <v>7700</v>
      </c>
      <c r="L378">
        <v>6400</v>
      </c>
      <c r="M378">
        <v>-16.88</v>
      </c>
      <c r="N378">
        <v>-3.61</v>
      </c>
      <c r="O378">
        <v>4.2</v>
      </c>
      <c r="P378">
        <v>-3.11</v>
      </c>
      <c r="Q378">
        <v>-12.66</v>
      </c>
      <c r="R378">
        <v>0.53</v>
      </c>
      <c r="S378">
        <v>-0.27</v>
      </c>
      <c r="T378">
        <v>1.3</v>
      </c>
      <c r="U378">
        <v>2.1</v>
      </c>
      <c r="V378">
        <v>1.59</v>
      </c>
      <c r="W378">
        <v>3.03</v>
      </c>
      <c r="X378">
        <v>1.35</v>
      </c>
      <c r="Y378">
        <v>0.63</v>
      </c>
      <c r="Z378">
        <v>2.78</v>
      </c>
      <c r="AA378">
        <v>2</v>
      </c>
      <c r="AB378">
        <v>1.96</v>
      </c>
      <c r="AC378">
        <v>4.18</v>
      </c>
      <c r="AD378">
        <v>0.39</v>
      </c>
      <c r="AE378">
        <v>0.43</v>
      </c>
      <c r="AF378">
        <v>1.9566666666666661</v>
      </c>
      <c r="AG378" t="str">
        <f>HYPERLINK("https://finance.naver.com/item/fchart.naver?code=034810", "해성산업 차트보기")</f>
        <v>해성산업 차트보기</v>
      </c>
    </row>
    <row r="379" spans="1:33" x14ac:dyDescent="0.3">
      <c r="A379" t="s">
        <v>1543</v>
      </c>
      <c r="B379" t="s">
        <v>55</v>
      </c>
      <c r="C379" t="s">
        <v>1544</v>
      </c>
      <c r="D379">
        <v>94648.19</v>
      </c>
      <c r="E379" t="s">
        <v>1545</v>
      </c>
      <c r="F379">
        <v>0</v>
      </c>
      <c r="G379">
        <v>0.77999997138977051</v>
      </c>
      <c r="H379">
        <v>0</v>
      </c>
      <c r="I379">
        <v>0</v>
      </c>
      <c r="J379" t="s">
        <v>1546</v>
      </c>
      <c r="K379">
        <v>2735</v>
      </c>
      <c r="L379">
        <v>2500</v>
      </c>
      <c r="M379">
        <v>-8.59</v>
      </c>
      <c r="N379">
        <v>-1.77</v>
      </c>
      <c r="O379">
        <v>0.39</v>
      </c>
      <c r="P379">
        <v>7.84</v>
      </c>
      <c r="Q379">
        <v>-3.09</v>
      </c>
      <c r="R379">
        <v>11.97</v>
      </c>
      <c r="S379">
        <v>-7.6</v>
      </c>
      <c r="T379">
        <v>3.36</v>
      </c>
      <c r="U379">
        <v>1.98</v>
      </c>
      <c r="V379">
        <v>2.2000000000000002</v>
      </c>
      <c r="W379">
        <v>9.66</v>
      </c>
      <c r="X379">
        <v>3.13</v>
      </c>
      <c r="Y379">
        <v>2.29</v>
      </c>
      <c r="Z379">
        <v>0.53</v>
      </c>
      <c r="AA379">
        <v>0.2</v>
      </c>
      <c r="AB379">
        <v>3.56</v>
      </c>
      <c r="AC379">
        <v>0.32</v>
      </c>
      <c r="AD379">
        <v>3.82</v>
      </c>
      <c r="AE379">
        <v>3.32</v>
      </c>
      <c r="AF379">
        <v>1.958333333333333</v>
      </c>
      <c r="AG379" t="str">
        <f>HYPERLINK("https://finance.naver.com/item/fchart.naver?code=058110", "멕아이씨에스 차트보기")</f>
        <v>멕아이씨에스 차트보기</v>
      </c>
    </row>
    <row r="380" spans="1:33" x14ac:dyDescent="0.3">
      <c r="A380" t="s">
        <v>1547</v>
      </c>
      <c r="B380" t="s">
        <v>34</v>
      </c>
      <c r="C380" t="s">
        <v>1548</v>
      </c>
      <c r="D380">
        <v>1575905.57</v>
      </c>
      <c r="E380" t="s">
        <v>1549</v>
      </c>
      <c r="F380">
        <v>42.55</v>
      </c>
      <c r="G380">
        <v>0.92000001668930054</v>
      </c>
      <c r="H380">
        <v>96</v>
      </c>
      <c r="I380">
        <v>7.7399997711181641</v>
      </c>
      <c r="J380" t="s">
        <v>1550</v>
      </c>
      <c r="K380">
        <v>5300</v>
      </c>
      <c r="L380">
        <v>4085</v>
      </c>
      <c r="M380">
        <v>-22.92</v>
      </c>
      <c r="N380">
        <v>2</v>
      </c>
      <c r="O380">
        <v>2.72</v>
      </c>
      <c r="P380">
        <v>5.32</v>
      </c>
      <c r="Q380">
        <v>-10.11</v>
      </c>
      <c r="R380">
        <v>-6.23</v>
      </c>
      <c r="S380">
        <v>-4.7300000000000004</v>
      </c>
      <c r="T380">
        <v>2.38</v>
      </c>
      <c r="U380">
        <v>2.61</v>
      </c>
      <c r="V380">
        <v>2.4900000000000002</v>
      </c>
      <c r="W380">
        <v>3.46</v>
      </c>
      <c r="X380">
        <v>2.71</v>
      </c>
      <c r="Y380">
        <v>1.86</v>
      </c>
      <c r="Z380">
        <v>0.84</v>
      </c>
      <c r="AA380">
        <v>1.04</v>
      </c>
      <c r="AB380">
        <v>2.14</v>
      </c>
      <c r="AC380">
        <v>2.92</v>
      </c>
      <c r="AD380">
        <v>2.2999999999999998</v>
      </c>
      <c r="AE380">
        <v>2.54</v>
      </c>
      <c r="AF380">
        <v>1.9633333333333329</v>
      </c>
      <c r="AG380" t="str">
        <f>HYPERLINK("https://finance.naver.com/item/fchart.naver?code=018880", "한온시스템 차트보기")</f>
        <v>한온시스템 차트보기</v>
      </c>
    </row>
    <row r="381" spans="1:33" x14ac:dyDescent="0.3">
      <c r="A381" t="s">
        <v>1551</v>
      </c>
      <c r="B381" t="s">
        <v>55</v>
      </c>
      <c r="C381" t="s">
        <v>1552</v>
      </c>
      <c r="D381">
        <v>12215.1</v>
      </c>
      <c r="E381" t="s">
        <v>1553</v>
      </c>
      <c r="F381">
        <v>0</v>
      </c>
      <c r="G381">
        <v>0</v>
      </c>
      <c r="H381">
        <v>0</v>
      </c>
      <c r="I381">
        <v>0</v>
      </c>
      <c r="J381" t="s">
        <v>1554</v>
      </c>
      <c r="K381">
        <v>2255</v>
      </c>
      <c r="L381">
        <v>2125</v>
      </c>
      <c r="M381">
        <v>-5.76</v>
      </c>
      <c r="N381">
        <v>-0.23</v>
      </c>
      <c r="O381">
        <v>0.71</v>
      </c>
      <c r="P381">
        <v>-1.39</v>
      </c>
      <c r="Q381">
        <v>-2.94</v>
      </c>
      <c r="R381">
        <v>1.1399999999999999</v>
      </c>
      <c r="S381">
        <v>-0.23</v>
      </c>
      <c r="T381">
        <v>0.32</v>
      </c>
      <c r="U381">
        <v>0.63</v>
      </c>
      <c r="V381">
        <v>0.4</v>
      </c>
      <c r="W381">
        <v>0.85</v>
      </c>
      <c r="X381">
        <v>0.45</v>
      </c>
      <c r="Y381">
        <v>0.48</v>
      </c>
      <c r="Z381">
        <v>0.72</v>
      </c>
      <c r="AA381">
        <v>1.1299999999999999</v>
      </c>
      <c r="AB381">
        <v>3.47</v>
      </c>
      <c r="AC381">
        <v>3.46</v>
      </c>
      <c r="AD381">
        <v>2.5299999999999998</v>
      </c>
      <c r="AE381">
        <v>0.48</v>
      </c>
      <c r="AF381">
        <v>1.9650000000000001</v>
      </c>
      <c r="AG381" t="str">
        <f>HYPERLINK("https://finance.naver.com/item/fchart.naver?code=471050", "대신밸런스제17호스팩 차트보기")</f>
        <v>대신밸런스제17호스팩 차트보기</v>
      </c>
    </row>
    <row r="382" spans="1:33" x14ac:dyDescent="0.3">
      <c r="A382" t="s">
        <v>1555</v>
      </c>
      <c r="B382" t="s">
        <v>34</v>
      </c>
      <c r="C382" t="s">
        <v>1556</v>
      </c>
      <c r="D382">
        <v>13248.95</v>
      </c>
      <c r="E382" t="s">
        <v>1557</v>
      </c>
      <c r="F382">
        <v>12.16</v>
      </c>
      <c r="G382">
        <v>0.27000001072883612</v>
      </c>
      <c r="H382">
        <v>290</v>
      </c>
      <c r="I382">
        <v>2.839999914169312</v>
      </c>
      <c r="J382" t="s">
        <v>1558</v>
      </c>
      <c r="K382">
        <v>3700</v>
      </c>
      <c r="L382">
        <v>3525</v>
      </c>
      <c r="M382">
        <v>-4.7300000000000004</v>
      </c>
      <c r="N382">
        <v>2.92</v>
      </c>
      <c r="O382">
        <v>-0.43</v>
      </c>
      <c r="P382">
        <v>0.56999999999999995</v>
      </c>
      <c r="Q382">
        <v>-0.99</v>
      </c>
      <c r="R382">
        <v>-5.61</v>
      </c>
      <c r="S382">
        <v>-1.32</v>
      </c>
      <c r="T382">
        <v>1.33</v>
      </c>
      <c r="U382">
        <v>0.84</v>
      </c>
      <c r="V382">
        <v>0.98</v>
      </c>
      <c r="W382">
        <v>1.25</v>
      </c>
      <c r="X382">
        <v>0.83</v>
      </c>
      <c r="Y382">
        <v>1.38</v>
      </c>
      <c r="Z382">
        <v>2.2000000000000002</v>
      </c>
      <c r="AA382">
        <v>0.51</v>
      </c>
      <c r="AB382">
        <v>0.57999999999999996</v>
      </c>
      <c r="AC382">
        <v>0.79</v>
      </c>
      <c r="AD382">
        <v>6.76</v>
      </c>
      <c r="AE382">
        <v>0.96</v>
      </c>
      <c r="AF382">
        <v>1.966666666666667</v>
      </c>
      <c r="AG382" t="str">
        <f>HYPERLINK("https://finance.naver.com/item/fchart.naver?code=003480", "한진중공업홀딩스 차트보기")</f>
        <v>한진중공업홀딩스 차트보기</v>
      </c>
    </row>
    <row r="383" spans="1:33" x14ac:dyDescent="0.3">
      <c r="A383" t="s">
        <v>1559</v>
      </c>
      <c r="B383" t="s">
        <v>55</v>
      </c>
      <c r="C383" t="s">
        <v>1560</v>
      </c>
      <c r="D383">
        <v>1022241.43</v>
      </c>
      <c r="E383" t="s">
        <v>1561</v>
      </c>
      <c r="F383">
        <v>12.08</v>
      </c>
      <c r="G383">
        <v>1.0900000333786011</v>
      </c>
      <c r="H383">
        <v>240</v>
      </c>
      <c r="I383">
        <v>0</v>
      </c>
      <c r="J383" t="s">
        <v>1562</v>
      </c>
      <c r="K383">
        <v>3675</v>
      </c>
      <c r="L383">
        <v>2900</v>
      </c>
      <c r="M383">
        <v>-21.09</v>
      </c>
      <c r="N383">
        <v>2.84</v>
      </c>
      <c r="O383">
        <v>1.4</v>
      </c>
      <c r="P383">
        <v>-2.68</v>
      </c>
      <c r="Q383">
        <v>-2.12</v>
      </c>
      <c r="R383">
        <v>-10.74</v>
      </c>
      <c r="S383">
        <v>-4.7699999999999996</v>
      </c>
      <c r="T383">
        <v>2.4900000000000002</v>
      </c>
      <c r="U383">
        <v>5.15</v>
      </c>
      <c r="V383">
        <v>2.41</v>
      </c>
      <c r="W383">
        <v>4.4400000000000004</v>
      </c>
      <c r="X383">
        <v>2.0099999999999998</v>
      </c>
      <c r="Y383">
        <v>1.38</v>
      </c>
      <c r="Z383">
        <v>1.1399999999999999</v>
      </c>
      <c r="AA383">
        <v>0.27</v>
      </c>
      <c r="AB383">
        <v>1.1100000000000001</v>
      </c>
      <c r="AC383">
        <v>0.48</v>
      </c>
      <c r="AD383">
        <v>5.34</v>
      </c>
      <c r="AE383">
        <v>3.46</v>
      </c>
      <c r="AF383">
        <v>1.966666666666667</v>
      </c>
      <c r="AG383" t="str">
        <f>HYPERLINK("https://finance.naver.com/item/fchart.naver?code=396300", "세아메카닉스 차트보기")</f>
        <v>세아메카닉스 차트보기</v>
      </c>
    </row>
    <row r="384" spans="1:33" x14ac:dyDescent="0.3">
      <c r="A384" t="s">
        <v>1563</v>
      </c>
      <c r="B384" t="s">
        <v>55</v>
      </c>
      <c r="C384" t="s">
        <v>1564</v>
      </c>
      <c r="D384">
        <v>69565.05</v>
      </c>
      <c r="E384" t="s">
        <v>1565</v>
      </c>
      <c r="F384">
        <v>0</v>
      </c>
      <c r="G384">
        <v>1.059999942779541</v>
      </c>
      <c r="H384">
        <v>0</v>
      </c>
      <c r="I384">
        <v>0</v>
      </c>
      <c r="J384" t="s">
        <v>1566</v>
      </c>
      <c r="K384">
        <v>5380</v>
      </c>
      <c r="L384">
        <v>3370</v>
      </c>
      <c r="M384">
        <v>-37.36</v>
      </c>
      <c r="N384">
        <v>-5.87</v>
      </c>
      <c r="O384">
        <v>-6.65</v>
      </c>
      <c r="P384">
        <v>3.68</v>
      </c>
      <c r="Q384">
        <v>-8.4700000000000006</v>
      </c>
      <c r="R384">
        <v>-10.029999999999999</v>
      </c>
      <c r="S384">
        <v>0.65</v>
      </c>
      <c r="T384">
        <v>3.49</v>
      </c>
      <c r="U384">
        <v>2.19</v>
      </c>
      <c r="V384">
        <v>8.1199999999999992</v>
      </c>
      <c r="W384">
        <v>4.13</v>
      </c>
      <c r="X384">
        <v>2.31</v>
      </c>
      <c r="Y384">
        <v>2.6</v>
      </c>
      <c r="Z384">
        <v>1.68</v>
      </c>
      <c r="AA384">
        <v>3.04</v>
      </c>
      <c r="AB384">
        <v>0.45</v>
      </c>
      <c r="AC384">
        <v>2.0499999999999998</v>
      </c>
      <c r="AD384">
        <v>4.34</v>
      </c>
      <c r="AE384">
        <v>0.25</v>
      </c>
      <c r="AF384">
        <v>1.968333333333333</v>
      </c>
      <c r="AG384" t="str">
        <f>HYPERLINK("https://finance.naver.com/item/fchart.naver?code=368600", "아이씨에이치 차트보기")</f>
        <v>아이씨에이치 차트보기</v>
      </c>
    </row>
    <row r="385" spans="1:33" x14ac:dyDescent="0.3">
      <c r="A385" t="s">
        <v>1567</v>
      </c>
      <c r="B385" t="s">
        <v>34</v>
      </c>
      <c r="C385" t="s">
        <v>1568</v>
      </c>
      <c r="D385">
        <v>2646.67</v>
      </c>
      <c r="E385" t="s">
        <v>1569</v>
      </c>
      <c r="F385">
        <v>8.4700000000000006</v>
      </c>
      <c r="G385">
        <v>0.69999998807907104</v>
      </c>
      <c r="H385">
        <v>46617</v>
      </c>
      <c r="I385">
        <v>2.279999971389771</v>
      </c>
      <c r="J385" t="s">
        <v>1570</v>
      </c>
      <c r="K385">
        <v>433500</v>
      </c>
      <c r="L385">
        <v>395000</v>
      </c>
      <c r="M385">
        <v>-8.8800000000000008</v>
      </c>
      <c r="N385">
        <v>-2.95</v>
      </c>
      <c r="O385">
        <v>1.2</v>
      </c>
      <c r="P385">
        <v>4.28</v>
      </c>
      <c r="Q385">
        <v>-4.47</v>
      </c>
      <c r="R385">
        <v>2.71</v>
      </c>
      <c r="S385">
        <v>-5.25</v>
      </c>
      <c r="T385">
        <v>2.0499999999999998</v>
      </c>
      <c r="U385">
        <v>1.47</v>
      </c>
      <c r="V385">
        <v>1.64</v>
      </c>
      <c r="W385">
        <v>2</v>
      </c>
      <c r="X385">
        <v>1.1200000000000001</v>
      </c>
      <c r="Y385">
        <v>2.29</v>
      </c>
      <c r="Z385">
        <v>1.44</v>
      </c>
      <c r="AA385">
        <v>0.82</v>
      </c>
      <c r="AB385">
        <v>2.61</v>
      </c>
      <c r="AC385">
        <v>2.23</v>
      </c>
      <c r="AD385">
        <v>2.42</v>
      </c>
      <c r="AE385">
        <v>2.29</v>
      </c>
      <c r="AF385">
        <v>1.968333333333333</v>
      </c>
      <c r="AG385" t="str">
        <f>HYPERLINK("https://finance.naver.com/item/fchart.naver?code=007310", "오뚜기 차트보기")</f>
        <v>오뚜기 차트보기</v>
      </c>
    </row>
    <row r="386" spans="1:33" x14ac:dyDescent="0.3">
      <c r="A386" t="s">
        <v>1571</v>
      </c>
      <c r="B386" t="s">
        <v>55</v>
      </c>
      <c r="C386" t="s">
        <v>1572</v>
      </c>
      <c r="D386">
        <v>518142.48</v>
      </c>
      <c r="E386" t="s">
        <v>1573</v>
      </c>
      <c r="F386">
        <v>8.2100000000000009</v>
      </c>
      <c r="G386">
        <v>0.56000000238418579</v>
      </c>
      <c r="H386">
        <v>257</v>
      </c>
      <c r="I386">
        <v>2.369999885559082</v>
      </c>
      <c r="J386" t="s">
        <v>1574</v>
      </c>
      <c r="K386">
        <v>2600</v>
      </c>
      <c r="L386">
        <v>2110</v>
      </c>
      <c r="M386">
        <v>-18.850000000000001</v>
      </c>
      <c r="N386">
        <v>-4.95</v>
      </c>
      <c r="O386">
        <v>-5.49</v>
      </c>
      <c r="P386">
        <v>2.63</v>
      </c>
      <c r="Q386">
        <v>-7.55</v>
      </c>
      <c r="R386">
        <v>-3.41</v>
      </c>
      <c r="S386">
        <v>-4.2300000000000004</v>
      </c>
      <c r="T386">
        <v>1.42</v>
      </c>
      <c r="U386">
        <v>2.14</v>
      </c>
      <c r="V386">
        <v>1.76</v>
      </c>
      <c r="W386">
        <v>3.7</v>
      </c>
      <c r="X386">
        <v>6.95</v>
      </c>
      <c r="Y386">
        <v>2.4500000000000002</v>
      </c>
      <c r="Z386">
        <v>3.49</v>
      </c>
      <c r="AA386">
        <v>2.57</v>
      </c>
      <c r="AB386">
        <v>1.49</v>
      </c>
      <c r="AC386">
        <v>2.04</v>
      </c>
      <c r="AD386">
        <v>0.49</v>
      </c>
      <c r="AE386">
        <v>1.73</v>
      </c>
      <c r="AF386">
        <v>1.968333333333333</v>
      </c>
      <c r="AG386" t="str">
        <f>HYPERLINK("https://finance.naver.com/item/fchart.naver?code=024910", "경창산업 차트보기")</f>
        <v>경창산업 차트보기</v>
      </c>
    </row>
    <row r="387" spans="1:33" x14ac:dyDescent="0.3">
      <c r="A387" t="s">
        <v>1575</v>
      </c>
      <c r="B387" t="s">
        <v>55</v>
      </c>
      <c r="C387" t="s">
        <v>1576</v>
      </c>
      <c r="D387">
        <v>52625.9</v>
      </c>
      <c r="E387" t="s">
        <v>1577</v>
      </c>
      <c r="F387">
        <v>9.2200000000000006</v>
      </c>
      <c r="G387">
        <v>0.20000000298023221</v>
      </c>
      <c r="H387">
        <v>85</v>
      </c>
      <c r="I387">
        <v>3.8299999237060551</v>
      </c>
      <c r="J387" t="s">
        <v>1578</v>
      </c>
      <c r="K387">
        <v>867</v>
      </c>
      <c r="L387">
        <v>784</v>
      </c>
      <c r="M387">
        <v>-9.57</v>
      </c>
      <c r="N387">
        <v>2.48</v>
      </c>
      <c r="O387">
        <v>-2.21</v>
      </c>
      <c r="P387">
        <v>-2.0499999999999998</v>
      </c>
      <c r="Q387">
        <v>-1.07</v>
      </c>
      <c r="R387">
        <v>1.93</v>
      </c>
      <c r="S387">
        <v>-1.07</v>
      </c>
      <c r="T387">
        <v>2.4500000000000002</v>
      </c>
      <c r="U387">
        <v>1.07</v>
      </c>
      <c r="V387">
        <v>0.84</v>
      </c>
      <c r="W387">
        <v>3.26</v>
      </c>
      <c r="X387">
        <v>0.6</v>
      </c>
      <c r="Y387">
        <v>0.39</v>
      </c>
      <c r="Z387">
        <v>1.01</v>
      </c>
      <c r="AA387">
        <v>2.0699999999999998</v>
      </c>
      <c r="AB387">
        <v>2.44</v>
      </c>
      <c r="AC387">
        <v>0.33</v>
      </c>
      <c r="AD387">
        <v>3.22</v>
      </c>
      <c r="AE387">
        <v>2.74</v>
      </c>
      <c r="AF387">
        <v>1.968333333333333</v>
      </c>
      <c r="AG387" t="str">
        <f>HYPERLINK("https://finance.naver.com/item/fchart.naver?code=011370", "서한 차트보기")</f>
        <v>서한 차트보기</v>
      </c>
    </row>
    <row r="388" spans="1:33" x14ac:dyDescent="0.3">
      <c r="A388" t="s">
        <v>1579</v>
      </c>
      <c r="B388" t="s">
        <v>34</v>
      </c>
      <c r="C388" t="s">
        <v>1580</v>
      </c>
      <c r="D388">
        <v>8868.67</v>
      </c>
      <c r="E388" t="s">
        <v>1581</v>
      </c>
      <c r="F388">
        <v>0</v>
      </c>
      <c r="G388">
        <v>0.30000001192092901</v>
      </c>
      <c r="H388">
        <v>0</v>
      </c>
      <c r="I388">
        <v>1.440000057220459</v>
      </c>
      <c r="J388" t="s">
        <v>1582</v>
      </c>
      <c r="K388">
        <v>2465</v>
      </c>
      <c r="L388">
        <v>2085</v>
      </c>
      <c r="M388">
        <v>-15.42</v>
      </c>
      <c r="N388">
        <v>4.51</v>
      </c>
      <c r="O388">
        <v>-0.25</v>
      </c>
      <c r="P388">
        <v>-0.73</v>
      </c>
      <c r="Q388">
        <v>-6.98</v>
      </c>
      <c r="R388">
        <v>-4.3499999999999996</v>
      </c>
      <c r="S388">
        <v>-4.55</v>
      </c>
      <c r="T388">
        <v>1.85</v>
      </c>
      <c r="U388">
        <v>0.87</v>
      </c>
      <c r="V388">
        <v>1.64</v>
      </c>
      <c r="W388">
        <v>2.66</v>
      </c>
      <c r="X388">
        <v>1.43</v>
      </c>
      <c r="Y388">
        <v>1.53</v>
      </c>
      <c r="Z388">
        <v>2.44</v>
      </c>
      <c r="AA388">
        <v>0.28999999999999998</v>
      </c>
      <c r="AB388">
        <v>0.45</v>
      </c>
      <c r="AC388">
        <v>2.62</v>
      </c>
      <c r="AD388">
        <v>3.04</v>
      </c>
      <c r="AE388">
        <v>2.97</v>
      </c>
      <c r="AF388">
        <v>1.968333333333333</v>
      </c>
      <c r="AG388" t="str">
        <f>HYPERLINK("https://finance.naver.com/item/fchart.naver?code=002220", "한일철강 차트보기")</f>
        <v>한일철강 차트보기</v>
      </c>
    </row>
    <row r="389" spans="1:33" x14ac:dyDescent="0.3">
      <c r="A389" t="s">
        <v>1583</v>
      </c>
      <c r="B389" t="s">
        <v>34</v>
      </c>
      <c r="C389" t="s">
        <v>1584</v>
      </c>
      <c r="D389">
        <v>83994.95</v>
      </c>
      <c r="E389" t="s">
        <v>1585</v>
      </c>
      <c r="F389">
        <v>8.18</v>
      </c>
      <c r="G389">
        <v>0.9100000262260437</v>
      </c>
      <c r="H389">
        <v>1990</v>
      </c>
      <c r="I389">
        <v>0</v>
      </c>
      <c r="J389" t="s">
        <v>1586</v>
      </c>
      <c r="K389">
        <v>22200</v>
      </c>
      <c r="L389">
        <v>16280</v>
      </c>
      <c r="M389">
        <v>-26.67</v>
      </c>
      <c r="N389">
        <v>-3.04</v>
      </c>
      <c r="O389">
        <v>0.98</v>
      </c>
      <c r="P389">
        <v>0.65</v>
      </c>
      <c r="Q389">
        <v>-7.55</v>
      </c>
      <c r="R389">
        <v>-7.01</v>
      </c>
      <c r="S389">
        <v>-0.76</v>
      </c>
      <c r="T389">
        <v>1.72</v>
      </c>
      <c r="U389">
        <v>2.0299999999999998</v>
      </c>
      <c r="V389">
        <v>3.21</v>
      </c>
      <c r="W389">
        <v>2.2599999999999998</v>
      </c>
      <c r="X389">
        <v>1.19</v>
      </c>
      <c r="Y389">
        <v>5.66</v>
      </c>
      <c r="Z389">
        <v>1.77</v>
      </c>
      <c r="AA389">
        <v>0.48</v>
      </c>
      <c r="AB389">
        <v>0.2</v>
      </c>
      <c r="AC389">
        <v>3.34</v>
      </c>
      <c r="AD389">
        <v>5.89</v>
      </c>
      <c r="AE389">
        <v>0.13</v>
      </c>
      <c r="AF389">
        <v>1.968333333333333</v>
      </c>
      <c r="AG389" t="str">
        <f>HYPERLINK("https://finance.naver.com/item/fchart.naver?code=462520", "조선내화 차트보기")</f>
        <v>조선내화 차트보기</v>
      </c>
    </row>
    <row r="390" spans="1:33" x14ac:dyDescent="0.3">
      <c r="A390" t="s">
        <v>1587</v>
      </c>
      <c r="B390" t="s">
        <v>55</v>
      </c>
      <c r="C390" t="s">
        <v>1588</v>
      </c>
      <c r="D390">
        <v>1127466.8999999999</v>
      </c>
      <c r="E390" t="s">
        <v>1589</v>
      </c>
      <c r="F390">
        <v>0</v>
      </c>
      <c r="G390">
        <v>3.0099999904632568</v>
      </c>
      <c r="H390">
        <v>0</v>
      </c>
      <c r="I390">
        <v>0</v>
      </c>
      <c r="J390" t="s">
        <v>1590</v>
      </c>
      <c r="K390">
        <v>15180</v>
      </c>
      <c r="L390">
        <v>17520</v>
      </c>
      <c r="M390">
        <v>15.42</v>
      </c>
      <c r="N390">
        <v>19.920000000000002</v>
      </c>
      <c r="O390">
        <v>7.2</v>
      </c>
      <c r="P390">
        <v>22.03</v>
      </c>
      <c r="Q390">
        <v>-8.59</v>
      </c>
      <c r="R390">
        <v>-6.34</v>
      </c>
      <c r="S390">
        <v>-1.1599999999999999</v>
      </c>
      <c r="T390">
        <v>13.11</v>
      </c>
      <c r="U390">
        <v>3.24</v>
      </c>
      <c r="V390">
        <v>4.6399999999999997</v>
      </c>
      <c r="W390">
        <v>4.54</v>
      </c>
      <c r="X390">
        <v>4.96</v>
      </c>
      <c r="Y390">
        <v>6.16</v>
      </c>
      <c r="Z390">
        <v>1.52</v>
      </c>
      <c r="AA390">
        <v>2.2200000000000002</v>
      </c>
      <c r="AB390">
        <v>4.75</v>
      </c>
      <c r="AC390">
        <v>1.89</v>
      </c>
      <c r="AD390">
        <v>1.28</v>
      </c>
      <c r="AE390">
        <v>0.19</v>
      </c>
      <c r="AF390">
        <v>1.9750000000000001</v>
      </c>
      <c r="AG390" t="str">
        <f>HYPERLINK("https://finance.naver.com/item/fchart.naver?code=200350", "래몽래인 차트보기")</f>
        <v>래몽래인 차트보기</v>
      </c>
    </row>
    <row r="391" spans="1:33" x14ac:dyDescent="0.3">
      <c r="A391" t="s">
        <v>1591</v>
      </c>
      <c r="B391" t="s">
        <v>34</v>
      </c>
      <c r="C391" t="s">
        <v>1592</v>
      </c>
      <c r="D391">
        <v>526051.67000000004</v>
      </c>
      <c r="E391" t="s">
        <v>1593</v>
      </c>
      <c r="F391">
        <v>46.32</v>
      </c>
      <c r="G391">
        <v>2.119999885559082</v>
      </c>
      <c r="H391">
        <v>3759</v>
      </c>
      <c r="I391">
        <v>0.28999999165534968</v>
      </c>
      <c r="J391" t="s">
        <v>1594</v>
      </c>
      <c r="K391">
        <v>193000</v>
      </c>
      <c r="L391">
        <v>174100</v>
      </c>
      <c r="M391">
        <v>-9.7899999999999991</v>
      </c>
      <c r="N391">
        <v>-3.87</v>
      </c>
      <c r="O391">
        <v>-4.45</v>
      </c>
      <c r="P391">
        <v>-0.86</v>
      </c>
      <c r="Q391">
        <v>1.5</v>
      </c>
      <c r="R391">
        <v>11.08</v>
      </c>
      <c r="S391">
        <v>-2.63</v>
      </c>
      <c r="T391">
        <v>2.44</v>
      </c>
      <c r="U391">
        <v>1.67</v>
      </c>
      <c r="V391">
        <v>2.11</v>
      </c>
      <c r="W391">
        <v>2.78</v>
      </c>
      <c r="X391">
        <v>2.09</v>
      </c>
      <c r="Y391">
        <v>1.95</v>
      </c>
      <c r="Z391">
        <v>1.59</v>
      </c>
      <c r="AA391">
        <v>2.66</v>
      </c>
      <c r="AB391">
        <v>0.41</v>
      </c>
      <c r="AC391">
        <v>0.54</v>
      </c>
      <c r="AD391">
        <v>5.3</v>
      </c>
      <c r="AE391">
        <v>1.35</v>
      </c>
      <c r="AF391">
        <v>1.9750000000000001</v>
      </c>
      <c r="AG391" t="str">
        <f>HYPERLINK("https://finance.naver.com/item/fchart.naver?code=068270", "셀트리온 차트보기")</f>
        <v>셀트리온 차트보기</v>
      </c>
    </row>
    <row r="392" spans="1:33" x14ac:dyDescent="0.3">
      <c r="A392" t="s">
        <v>1595</v>
      </c>
      <c r="B392" t="s">
        <v>34</v>
      </c>
      <c r="C392" t="s">
        <v>1596</v>
      </c>
      <c r="D392">
        <v>165946.95000000001</v>
      </c>
      <c r="E392" t="s">
        <v>1597</v>
      </c>
      <c r="F392">
        <v>0</v>
      </c>
      <c r="G392">
        <v>0.2099999934434891</v>
      </c>
      <c r="H392">
        <v>0</v>
      </c>
      <c r="I392">
        <v>0</v>
      </c>
      <c r="J392" t="s">
        <v>1598</v>
      </c>
      <c r="K392">
        <v>3840</v>
      </c>
      <c r="L392">
        <v>3350</v>
      </c>
      <c r="M392">
        <v>-12.76</v>
      </c>
      <c r="N392">
        <v>-1.47</v>
      </c>
      <c r="O392">
        <v>-2.96</v>
      </c>
      <c r="P392">
        <v>0.42</v>
      </c>
      <c r="Q392">
        <v>-3.72</v>
      </c>
      <c r="R392">
        <v>-1.98</v>
      </c>
      <c r="S392">
        <v>-12.81</v>
      </c>
      <c r="T392">
        <v>0.9</v>
      </c>
      <c r="U392">
        <v>0.93</v>
      </c>
      <c r="V392">
        <v>3.66</v>
      </c>
      <c r="W392">
        <v>1.94</v>
      </c>
      <c r="X392">
        <v>1</v>
      </c>
      <c r="Y392">
        <v>4.2300000000000004</v>
      </c>
      <c r="Z392">
        <v>1.63</v>
      </c>
      <c r="AA392">
        <v>3.18</v>
      </c>
      <c r="AB392">
        <v>0.11</v>
      </c>
      <c r="AC392">
        <v>1.92</v>
      </c>
      <c r="AD392">
        <v>1.98</v>
      </c>
      <c r="AE392">
        <v>3.03</v>
      </c>
      <c r="AF392">
        <v>1.9750000000000001</v>
      </c>
      <c r="AG392" t="str">
        <f>HYPERLINK("https://finance.naver.com/item/fchart.naver?code=128820", "대성산업 차트보기")</f>
        <v>대성산업 차트보기</v>
      </c>
    </row>
    <row r="393" spans="1:33" x14ac:dyDescent="0.3">
      <c r="A393" t="s">
        <v>1599</v>
      </c>
      <c r="B393" t="s">
        <v>55</v>
      </c>
      <c r="C393" t="s">
        <v>1600</v>
      </c>
      <c r="D393">
        <v>43014.14</v>
      </c>
      <c r="E393" t="s">
        <v>1601</v>
      </c>
      <c r="F393">
        <v>0</v>
      </c>
      <c r="G393">
        <v>0.2800000011920929</v>
      </c>
      <c r="H393">
        <v>0</v>
      </c>
      <c r="I393">
        <v>0.95999997854232788</v>
      </c>
      <c r="J393" t="s">
        <v>1602</v>
      </c>
      <c r="K393">
        <v>4255</v>
      </c>
      <c r="L393">
        <v>3120</v>
      </c>
      <c r="M393">
        <v>-26.67</v>
      </c>
      <c r="N393">
        <v>-0.48</v>
      </c>
      <c r="O393">
        <v>-3.16</v>
      </c>
      <c r="P393">
        <v>-10.39</v>
      </c>
      <c r="Q393">
        <v>2.99</v>
      </c>
      <c r="R393">
        <v>-2.39</v>
      </c>
      <c r="S393">
        <v>-4.59</v>
      </c>
      <c r="T393">
        <v>1.46</v>
      </c>
      <c r="U393">
        <v>1.49</v>
      </c>
      <c r="V393">
        <v>4.1500000000000004</v>
      </c>
      <c r="W393">
        <v>8.85</v>
      </c>
      <c r="X393">
        <v>1.34</v>
      </c>
      <c r="Y393">
        <v>0.96</v>
      </c>
      <c r="Z393">
        <v>0.33</v>
      </c>
      <c r="AA393">
        <v>2.12</v>
      </c>
      <c r="AB393">
        <v>2.5</v>
      </c>
      <c r="AC393">
        <v>0.34</v>
      </c>
      <c r="AD393">
        <v>1.78</v>
      </c>
      <c r="AE393">
        <v>4.78</v>
      </c>
      <c r="AF393">
        <v>1.9750000000000001</v>
      </c>
      <c r="AG393" t="str">
        <f>HYPERLINK("https://finance.naver.com/item/fchart.naver?code=083550", "케이엠 차트보기")</f>
        <v>케이엠 차트보기</v>
      </c>
    </row>
    <row r="394" spans="1:33" x14ac:dyDescent="0.3">
      <c r="A394" t="s">
        <v>1603</v>
      </c>
      <c r="B394" t="s">
        <v>55</v>
      </c>
      <c r="C394" t="s">
        <v>1604</v>
      </c>
      <c r="D394">
        <v>349355.33</v>
      </c>
      <c r="E394" t="s">
        <v>1605</v>
      </c>
      <c r="F394">
        <v>55.18</v>
      </c>
      <c r="G394">
        <v>2.2400000095367432</v>
      </c>
      <c r="H394">
        <v>34</v>
      </c>
      <c r="I394">
        <v>0</v>
      </c>
      <c r="J394" t="s">
        <v>1606</v>
      </c>
      <c r="K394">
        <v>2385</v>
      </c>
      <c r="L394">
        <v>1876</v>
      </c>
      <c r="M394">
        <v>-21.34</v>
      </c>
      <c r="N394">
        <v>0.97</v>
      </c>
      <c r="O394">
        <v>-0.11</v>
      </c>
      <c r="P394">
        <v>-10.87</v>
      </c>
      <c r="Q394">
        <v>-11.47</v>
      </c>
      <c r="R394">
        <v>-3.23</v>
      </c>
      <c r="S394">
        <v>-8.7899999999999991</v>
      </c>
      <c r="T394">
        <v>0.77</v>
      </c>
      <c r="U394">
        <v>1.18</v>
      </c>
      <c r="V394">
        <v>3.22</v>
      </c>
      <c r="W394">
        <v>4.9400000000000004</v>
      </c>
      <c r="X394">
        <v>2.12</v>
      </c>
      <c r="Y394">
        <v>2.67</v>
      </c>
      <c r="Z394">
        <v>1.26</v>
      </c>
      <c r="AA394">
        <v>0.09</v>
      </c>
      <c r="AB394">
        <v>3.38</v>
      </c>
      <c r="AC394">
        <v>2.3199999999999998</v>
      </c>
      <c r="AD394">
        <v>1.52</v>
      </c>
      <c r="AE394">
        <v>3.29</v>
      </c>
      <c r="AF394">
        <v>1.976666666666667</v>
      </c>
      <c r="AG394" t="str">
        <f>HYPERLINK("https://finance.naver.com/item/fchart.naver?code=403490", "우듬지팜 차트보기")</f>
        <v>우듬지팜 차트보기</v>
      </c>
    </row>
    <row r="395" spans="1:33" x14ac:dyDescent="0.3">
      <c r="A395" t="s">
        <v>1607</v>
      </c>
      <c r="B395" t="s">
        <v>34</v>
      </c>
      <c r="C395" t="s">
        <v>1608</v>
      </c>
      <c r="D395">
        <v>12555.48</v>
      </c>
      <c r="E395" t="s">
        <v>1609</v>
      </c>
      <c r="F395">
        <v>6.32</v>
      </c>
      <c r="G395">
        <v>0.4699999988079071</v>
      </c>
      <c r="H395">
        <v>6186</v>
      </c>
      <c r="I395">
        <v>4.3499999046325684</v>
      </c>
      <c r="J395" t="s">
        <v>1610</v>
      </c>
      <c r="K395">
        <v>45500</v>
      </c>
      <c r="L395">
        <v>39100</v>
      </c>
      <c r="M395">
        <v>-14.07</v>
      </c>
      <c r="N395">
        <v>-0.89</v>
      </c>
      <c r="O395">
        <v>-0.88</v>
      </c>
      <c r="P395">
        <v>-1.6</v>
      </c>
      <c r="Q395">
        <v>-14.29</v>
      </c>
      <c r="R395">
        <v>7.69</v>
      </c>
      <c r="S395">
        <v>3.21</v>
      </c>
      <c r="T395">
        <v>0.6</v>
      </c>
      <c r="U395">
        <v>2.16</v>
      </c>
      <c r="V395">
        <v>1.2</v>
      </c>
      <c r="W395">
        <v>3.19</v>
      </c>
      <c r="X395">
        <v>3.11</v>
      </c>
      <c r="Y395">
        <v>1.89</v>
      </c>
      <c r="Z395">
        <v>1.48</v>
      </c>
      <c r="AA395">
        <v>0.41</v>
      </c>
      <c r="AB395">
        <v>1.33</v>
      </c>
      <c r="AC395">
        <v>4.4800000000000004</v>
      </c>
      <c r="AD395">
        <v>2.4700000000000002</v>
      </c>
      <c r="AE395">
        <v>1.7</v>
      </c>
      <c r="AF395">
        <v>1.9783333333333331</v>
      </c>
      <c r="AG395" t="str">
        <f>HYPERLINK("https://finance.naver.com/item/fchart.naver?code=108670", "LX하우시스 차트보기")</f>
        <v>LX하우시스 차트보기</v>
      </c>
    </row>
    <row r="396" spans="1:33" x14ac:dyDescent="0.3">
      <c r="A396" t="s">
        <v>1611</v>
      </c>
      <c r="B396" t="s">
        <v>34</v>
      </c>
      <c r="C396" t="s">
        <v>1612</v>
      </c>
      <c r="D396">
        <v>1222.67</v>
      </c>
      <c r="E396" t="s">
        <v>1613</v>
      </c>
      <c r="F396">
        <v>0</v>
      </c>
      <c r="G396">
        <v>0</v>
      </c>
      <c r="H396">
        <v>0</v>
      </c>
      <c r="I396">
        <v>1.9099999666213989</v>
      </c>
      <c r="J396" t="s">
        <v>1614</v>
      </c>
      <c r="K396">
        <v>8900</v>
      </c>
      <c r="L396">
        <v>6800</v>
      </c>
      <c r="M396">
        <v>-23.6</v>
      </c>
      <c r="N396">
        <v>-1.31</v>
      </c>
      <c r="O396">
        <v>-12.17</v>
      </c>
      <c r="P396">
        <v>-2.84</v>
      </c>
      <c r="Q396">
        <v>-3.91</v>
      </c>
      <c r="R396">
        <v>-2.0699999999999998</v>
      </c>
      <c r="S396">
        <v>-0.46</v>
      </c>
      <c r="T396">
        <v>1.88</v>
      </c>
      <c r="U396">
        <v>2.4900000000000002</v>
      </c>
      <c r="V396">
        <v>1.6</v>
      </c>
      <c r="W396">
        <v>1.58</v>
      </c>
      <c r="X396">
        <v>1.45</v>
      </c>
      <c r="Y396">
        <v>0.75</v>
      </c>
      <c r="Z396">
        <v>0.7</v>
      </c>
      <c r="AA396">
        <v>4.8899999999999997</v>
      </c>
      <c r="AB396">
        <v>1.77</v>
      </c>
      <c r="AC396">
        <v>2.4700000000000002</v>
      </c>
      <c r="AD396">
        <v>1.43</v>
      </c>
      <c r="AE396">
        <v>0.61</v>
      </c>
      <c r="AF396">
        <v>1.9783333333333331</v>
      </c>
      <c r="AG396" t="str">
        <f>HYPERLINK("https://finance.naver.com/item/fchart.naver?code=014285", "금강공업우 차트보기")</f>
        <v>금강공업우 차트보기</v>
      </c>
    </row>
    <row r="397" spans="1:33" x14ac:dyDescent="0.3">
      <c r="A397" t="s">
        <v>1615</v>
      </c>
      <c r="B397" t="s">
        <v>55</v>
      </c>
      <c r="C397" t="s">
        <v>1616</v>
      </c>
      <c r="D397">
        <v>50312.480000000003</v>
      </c>
      <c r="E397" t="s">
        <v>1617</v>
      </c>
      <c r="F397">
        <v>6.49</v>
      </c>
      <c r="G397">
        <v>0.85000002384185791</v>
      </c>
      <c r="H397">
        <v>912</v>
      </c>
      <c r="I397">
        <v>2.7000000476837158</v>
      </c>
      <c r="J397" t="s">
        <v>1618</v>
      </c>
      <c r="K397">
        <v>6510</v>
      </c>
      <c r="L397">
        <v>5920</v>
      </c>
      <c r="M397">
        <v>-9.06</v>
      </c>
      <c r="N397">
        <v>-1.5</v>
      </c>
      <c r="O397">
        <v>-2.93</v>
      </c>
      <c r="P397">
        <v>2.79</v>
      </c>
      <c r="Q397">
        <v>-4.38</v>
      </c>
      <c r="R397">
        <v>-0.78</v>
      </c>
      <c r="S397">
        <v>2.06</v>
      </c>
      <c r="T397">
        <v>0.75</v>
      </c>
      <c r="U397">
        <v>0.95</v>
      </c>
      <c r="V397">
        <v>1.3</v>
      </c>
      <c r="W397">
        <v>2.16</v>
      </c>
      <c r="X397">
        <v>1.02</v>
      </c>
      <c r="Y397">
        <v>1.1000000000000001</v>
      </c>
      <c r="Z397">
        <v>2</v>
      </c>
      <c r="AA397">
        <v>3.08</v>
      </c>
      <c r="AB397">
        <v>2.15</v>
      </c>
      <c r="AC397">
        <v>2.0299999999999998</v>
      </c>
      <c r="AD397">
        <v>0.76</v>
      </c>
      <c r="AE397">
        <v>1.87</v>
      </c>
      <c r="AF397">
        <v>1.9816666666666669</v>
      </c>
      <c r="AG397" t="str">
        <f>HYPERLINK("https://finance.naver.com/item/fchart.naver?code=122310", "제노레이 차트보기")</f>
        <v>제노레이 차트보기</v>
      </c>
    </row>
    <row r="398" spans="1:33" x14ac:dyDescent="0.3">
      <c r="A398" t="s">
        <v>1619</v>
      </c>
      <c r="B398" t="s">
        <v>34</v>
      </c>
      <c r="C398" t="s">
        <v>1620</v>
      </c>
      <c r="D398">
        <v>407946.33</v>
      </c>
      <c r="E398" t="s">
        <v>1621</v>
      </c>
      <c r="F398">
        <v>12.87</v>
      </c>
      <c r="G398">
        <v>1.4099999666213989</v>
      </c>
      <c r="H398">
        <v>3939</v>
      </c>
      <c r="I398">
        <v>1.970000028610229</v>
      </c>
      <c r="J398" t="s">
        <v>1622</v>
      </c>
      <c r="K398">
        <v>46350</v>
      </c>
      <c r="L398">
        <v>50700</v>
      </c>
      <c r="M398">
        <v>9.39</v>
      </c>
      <c r="N398">
        <v>0.6</v>
      </c>
      <c r="O398">
        <v>-6.1</v>
      </c>
      <c r="P398">
        <v>-0.35</v>
      </c>
      <c r="Q398">
        <v>2.92</v>
      </c>
      <c r="R398">
        <v>-16.8</v>
      </c>
      <c r="S398">
        <v>27.73</v>
      </c>
      <c r="T398">
        <v>4.13</v>
      </c>
      <c r="U398">
        <v>2.34</v>
      </c>
      <c r="V398">
        <v>3.2</v>
      </c>
      <c r="W398">
        <v>4.16</v>
      </c>
      <c r="X398">
        <v>3.51</v>
      </c>
      <c r="Y398">
        <v>7.8</v>
      </c>
      <c r="Z398">
        <v>0.15</v>
      </c>
      <c r="AA398">
        <v>2.61</v>
      </c>
      <c r="AB398">
        <v>0.11</v>
      </c>
      <c r="AC398">
        <v>0.7</v>
      </c>
      <c r="AD398">
        <v>4.79</v>
      </c>
      <c r="AE398">
        <v>3.56</v>
      </c>
      <c r="AF398">
        <v>1.986666666666667</v>
      </c>
      <c r="AG398" t="str">
        <f>HYPERLINK("https://finance.naver.com/item/fchart.naver?code=047050", "포스코인터내셔널 차트보기")</f>
        <v>포스코인터내셔널 차트보기</v>
      </c>
    </row>
    <row r="399" spans="1:33" x14ac:dyDescent="0.3">
      <c r="A399" t="s">
        <v>1623</v>
      </c>
      <c r="B399" t="s">
        <v>34</v>
      </c>
      <c r="C399" t="s">
        <v>1624</v>
      </c>
      <c r="D399">
        <v>119845.95</v>
      </c>
      <c r="E399" t="s">
        <v>1625</v>
      </c>
      <c r="F399">
        <v>8.76</v>
      </c>
      <c r="G399">
        <v>0.44999998807907099</v>
      </c>
      <c r="H399">
        <v>3255</v>
      </c>
      <c r="I399">
        <v>4.2100000381469727</v>
      </c>
      <c r="J399" t="s">
        <v>1626</v>
      </c>
      <c r="K399">
        <v>29250</v>
      </c>
      <c r="L399">
        <v>28500</v>
      </c>
      <c r="M399">
        <v>-2.56</v>
      </c>
      <c r="N399">
        <v>-4.84</v>
      </c>
      <c r="O399">
        <v>4.0999999999999996</v>
      </c>
      <c r="P399">
        <v>-3.54</v>
      </c>
      <c r="Q399">
        <v>2.56</v>
      </c>
      <c r="R399">
        <v>-0.32</v>
      </c>
      <c r="S399">
        <v>-6.01</v>
      </c>
      <c r="T399">
        <v>1.3</v>
      </c>
      <c r="U399">
        <v>1.44</v>
      </c>
      <c r="V399">
        <v>1.68</v>
      </c>
      <c r="W399">
        <v>3.22</v>
      </c>
      <c r="X399">
        <v>1.57</v>
      </c>
      <c r="Y399">
        <v>2.68</v>
      </c>
      <c r="Z399">
        <v>3.72</v>
      </c>
      <c r="AA399">
        <v>2.85</v>
      </c>
      <c r="AB399">
        <v>2.11</v>
      </c>
      <c r="AC399">
        <v>0.8</v>
      </c>
      <c r="AD399">
        <v>0.2</v>
      </c>
      <c r="AE399">
        <v>2.2400000000000002</v>
      </c>
      <c r="AF399">
        <v>1.986666666666667</v>
      </c>
      <c r="AG399" t="str">
        <f>HYPERLINK("https://finance.naver.com/item/fchart.naver?code=001120", "LX인터내셔널 차트보기")</f>
        <v>LX인터내셔널 차트보기</v>
      </c>
    </row>
    <row r="400" spans="1:33" x14ac:dyDescent="0.3">
      <c r="A400" t="s">
        <v>1627</v>
      </c>
      <c r="B400" t="s">
        <v>34</v>
      </c>
      <c r="C400" t="s">
        <v>1628</v>
      </c>
      <c r="D400">
        <v>9591.76</v>
      </c>
      <c r="E400" t="s">
        <v>1629</v>
      </c>
      <c r="F400">
        <v>5</v>
      </c>
      <c r="G400">
        <v>0.31000000238418579</v>
      </c>
      <c r="H400">
        <v>709</v>
      </c>
      <c r="I400">
        <v>6.3499999046325684</v>
      </c>
      <c r="J400" t="s">
        <v>1630</v>
      </c>
      <c r="K400">
        <v>3855</v>
      </c>
      <c r="L400">
        <v>3545</v>
      </c>
      <c r="M400">
        <v>-8.0399999999999991</v>
      </c>
      <c r="N400">
        <v>-0.28000000000000003</v>
      </c>
      <c r="O400">
        <v>-0.14000000000000001</v>
      </c>
      <c r="P400">
        <v>4.05</v>
      </c>
      <c r="Q400">
        <v>-3.68</v>
      </c>
      <c r="R400">
        <v>-6.48</v>
      </c>
      <c r="S400">
        <v>-2.12</v>
      </c>
      <c r="T400">
        <v>0.72</v>
      </c>
      <c r="U400">
        <v>0.62</v>
      </c>
      <c r="V400">
        <v>1.3</v>
      </c>
      <c r="W400">
        <v>2.99</v>
      </c>
      <c r="X400">
        <v>1.1399999999999999</v>
      </c>
      <c r="Y400">
        <v>1.65</v>
      </c>
      <c r="Z400">
        <v>0.39</v>
      </c>
      <c r="AA400">
        <v>0.23</v>
      </c>
      <c r="AB400">
        <v>3.12</v>
      </c>
      <c r="AC400">
        <v>1.23</v>
      </c>
      <c r="AD400">
        <v>5.68</v>
      </c>
      <c r="AE400">
        <v>1.28</v>
      </c>
      <c r="AF400">
        <v>1.9883333333333331</v>
      </c>
      <c r="AG400" t="str">
        <f>HYPERLINK("https://finance.naver.com/item/fchart.naver?code=025530", "SJM홀딩스 차트보기")</f>
        <v>SJM홀딩스 차트보기</v>
      </c>
    </row>
    <row r="401" spans="1:33" x14ac:dyDescent="0.3">
      <c r="A401" t="s">
        <v>1631</v>
      </c>
      <c r="B401" t="s">
        <v>34</v>
      </c>
      <c r="C401" t="s">
        <v>1632</v>
      </c>
      <c r="D401">
        <v>11060.19</v>
      </c>
      <c r="E401" t="s">
        <v>1633</v>
      </c>
      <c r="F401">
        <v>7.92</v>
      </c>
      <c r="G401">
        <v>0.34000000357627869</v>
      </c>
      <c r="H401">
        <v>9133</v>
      </c>
      <c r="I401">
        <v>1.0399999618530269</v>
      </c>
      <c r="J401" t="s">
        <v>1634</v>
      </c>
      <c r="K401">
        <v>73600</v>
      </c>
      <c r="L401">
        <v>72300</v>
      </c>
      <c r="M401">
        <v>-1.77</v>
      </c>
      <c r="N401">
        <v>-2.69</v>
      </c>
      <c r="O401">
        <v>1.33</v>
      </c>
      <c r="P401">
        <v>-15.07</v>
      </c>
      <c r="Q401">
        <v>6.28</v>
      </c>
      <c r="R401">
        <v>2.99</v>
      </c>
      <c r="S401">
        <v>-8.81</v>
      </c>
      <c r="T401">
        <v>1.53</v>
      </c>
      <c r="U401">
        <v>1.67</v>
      </c>
      <c r="V401">
        <v>3.06</v>
      </c>
      <c r="W401">
        <v>4.68</v>
      </c>
      <c r="X401">
        <v>2.64</v>
      </c>
      <c r="Y401">
        <v>4.41</v>
      </c>
      <c r="Z401">
        <v>1.76</v>
      </c>
      <c r="AA401">
        <v>0.8</v>
      </c>
      <c r="AB401">
        <v>4.92</v>
      </c>
      <c r="AC401">
        <v>1.34</v>
      </c>
      <c r="AD401">
        <v>1.1299999999999999</v>
      </c>
      <c r="AE401">
        <v>2</v>
      </c>
      <c r="AF401">
        <v>1.991666666666666</v>
      </c>
      <c r="AG401" t="str">
        <f>HYPERLINK("https://finance.naver.com/item/fchart.naver?code=012320", "경동인베스트 차트보기")</f>
        <v>경동인베스트 차트보기</v>
      </c>
    </row>
    <row r="402" spans="1:33" x14ac:dyDescent="0.3">
      <c r="A402" t="s">
        <v>1635</v>
      </c>
      <c r="B402" t="s">
        <v>55</v>
      </c>
      <c r="C402" t="s">
        <v>1636</v>
      </c>
      <c r="D402">
        <v>10576</v>
      </c>
      <c r="E402" t="s">
        <v>1637</v>
      </c>
      <c r="F402">
        <v>0</v>
      </c>
      <c r="G402">
        <v>0</v>
      </c>
      <c r="H402">
        <v>0</v>
      </c>
      <c r="I402">
        <v>0</v>
      </c>
      <c r="J402" t="s">
        <v>1638</v>
      </c>
      <c r="K402">
        <v>2375</v>
      </c>
      <c r="L402">
        <v>2205</v>
      </c>
      <c r="M402">
        <v>-7.16</v>
      </c>
      <c r="N402">
        <v>0.23</v>
      </c>
      <c r="O402">
        <v>-0.68</v>
      </c>
      <c r="P402">
        <v>-0.23</v>
      </c>
      <c r="Q402">
        <v>-5.36</v>
      </c>
      <c r="R402">
        <v>-2.35</v>
      </c>
      <c r="S402">
        <v>0.64</v>
      </c>
      <c r="T402">
        <v>0.51</v>
      </c>
      <c r="U402">
        <v>0.56999999999999995</v>
      </c>
      <c r="V402">
        <v>0.68</v>
      </c>
      <c r="W402">
        <v>1.3</v>
      </c>
      <c r="X402">
        <v>0.44</v>
      </c>
      <c r="Y402">
        <v>1.26</v>
      </c>
      <c r="Z402">
        <v>0.45</v>
      </c>
      <c r="AA402">
        <v>1.19</v>
      </c>
      <c r="AB402">
        <v>0.34</v>
      </c>
      <c r="AC402">
        <v>4.12</v>
      </c>
      <c r="AD402">
        <v>5.34</v>
      </c>
      <c r="AE402">
        <v>0.51</v>
      </c>
      <c r="AF402">
        <v>1.991666666666666</v>
      </c>
      <c r="AG402" t="str">
        <f>HYPERLINK("https://finance.naver.com/item/fchart.naver?code=448760", "IBKS제22호스팩 차트보기")</f>
        <v>IBKS제22호스팩 차트보기</v>
      </c>
    </row>
    <row r="403" spans="1:33" x14ac:dyDescent="0.3">
      <c r="A403" t="s">
        <v>1639</v>
      </c>
      <c r="B403" t="s">
        <v>55</v>
      </c>
      <c r="C403" t="s">
        <v>1640</v>
      </c>
      <c r="D403">
        <v>97634.67</v>
      </c>
      <c r="E403" t="s">
        <v>1641</v>
      </c>
      <c r="F403">
        <v>45.62</v>
      </c>
      <c r="G403">
        <v>0.95999997854232788</v>
      </c>
      <c r="H403">
        <v>21</v>
      </c>
      <c r="I403">
        <v>1.879999995231628</v>
      </c>
      <c r="J403" t="s">
        <v>1642</v>
      </c>
      <c r="K403">
        <v>1007</v>
      </c>
      <c r="L403">
        <v>958</v>
      </c>
      <c r="M403">
        <v>-4.87</v>
      </c>
      <c r="N403">
        <v>-1.34</v>
      </c>
      <c r="O403">
        <v>-2.62</v>
      </c>
      <c r="P403">
        <v>0.6</v>
      </c>
      <c r="Q403">
        <v>-11.65</v>
      </c>
      <c r="R403">
        <v>10.16</v>
      </c>
      <c r="S403">
        <v>3.68</v>
      </c>
      <c r="T403">
        <v>0.95</v>
      </c>
      <c r="U403">
        <v>1.2</v>
      </c>
      <c r="V403">
        <v>1.25</v>
      </c>
      <c r="W403">
        <v>3.09</v>
      </c>
      <c r="X403">
        <v>4.29</v>
      </c>
      <c r="Y403">
        <v>2.09</v>
      </c>
      <c r="Z403">
        <v>1.41</v>
      </c>
      <c r="AA403">
        <v>2.1800000000000002</v>
      </c>
      <c r="AB403">
        <v>0.48</v>
      </c>
      <c r="AC403">
        <v>3.77</v>
      </c>
      <c r="AD403">
        <v>2.37</v>
      </c>
      <c r="AE403">
        <v>1.76</v>
      </c>
      <c r="AF403">
        <v>1.9950000000000001</v>
      </c>
      <c r="AG403" t="str">
        <f>HYPERLINK("https://finance.naver.com/item/fchart.naver?code=293580", "나우IB 차트보기")</f>
        <v>나우IB 차트보기</v>
      </c>
    </row>
    <row r="404" spans="1:33" x14ac:dyDescent="0.3">
      <c r="A404" t="s">
        <v>1643</v>
      </c>
      <c r="B404" t="s">
        <v>34</v>
      </c>
      <c r="C404" t="s">
        <v>1644</v>
      </c>
      <c r="D404">
        <v>55449.67</v>
      </c>
      <c r="E404" t="s">
        <v>1645</v>
      </c>
      <c r="F404">
        <v>7.26</v>
      </c>
      <c r="G404">
        <v>0.54000002145767212</v>
      </c>
      <c r="H404">
        <v>991</v>
      </c>
      <c r="I404">
        <v>2.5</v>
      </c>
      <c r="J404" t="s">
        <v>1646</v>
      </c>
      <c r="K404">
        <v>8680</v>
      </c>
      <c r="L404">
        <v>7190</v>
      </c>
      <c r="M404">
        <v>-17.170000000000002</v>
      </c>
      <c r="N404">
        <v>-1.78</v>
      </c>
      <c r="O404">
        <v>-1.05</v>
      </c>
      <c r="P404">
        <v>-3</v>
      </c>
      <c r="Q404">
        <v>-3.7</v>
      </c>
      <c r="R404">
        <v>2.33</v>
      </c>
      <c r="S404">
        <v>-3.7</v>
      </c>
      <c r="T404">
        <v>1.52</v>
      </c>
      <c r="U404">
        <v>1.0900000000000001</v>
      </c>
      <c r="V404">
        <v>1.17</v>
      </c>
      <c r="W404">
        <v>3.11</v>
      </c>
      <c r="X404">
        <v>1.29</v>
      </c>
      <c r="Y404">
        <v>0.86</v>
      </c>
      <c r="Z404">
        <v>1.17</v>
      </c>
      <c r="AA404">
        <v>0.96</v>
      </c>
      <c r="AB404">
        <v>2.56</v>
      </c>
      <c r="AC404">
        <v>1.19</v>
      </c>
      <c r="AD404">
        <v>1.81</v>
      </c>
      <c r="AE404">
        <v>4.3</v>
      </c>
      <c r="AF404">
        <v>1.9983333333333331</v>
      </c>
      <c r="AG404" t="str">
        <f>HYPERLINK("https://finance.naver.com/item/fchart.naver?code=000020", "동화약품 차트보기")</f>
        <v>동화약품 차트보기</v>
      </c>
    </row>
    <row r="405" spans="1:33" x14ac:dyDescent="0.3">
      <c r="A405" t="s">
        <v>1647</v>
      </c>
      <c r="B405" t="s">
        <v>55</v>
      </c>
      <c r="C405" t="s">
        <v>1648</v>
      </c>
      <c r="D405">
        <v>8640.76</v>
      </c>
      <c r="E405" t="s">
        <v>1649</v>
      </c>
      <c r="F405">
        <v>13.52</v>
      </c>
      <c r="G405">
        <v>0.50999999046325684</v>
      </c>
      <c r="H405">
        <v>364</v>
      </c>
      <c r="I405">
        <v>1.830000042915344</v>
      </c>
      <c r="J405" t="s">
        <v>1650</v>
      </c>
      <c r="K405">
        <v>5240</v>
      </c>
      <c r="L405">
        <v>4920</v>
      </c>
      <c r="M405">
        <v>-6.11</v>
      </c>
      <c r="N405">
        <v>-5.38</v>
      </c>
      <c r="O405">
        <v>4.53</v>
      </c>
      <c r="P405">
        <v>0.98</v>
      </c>
      <c r="Q405">
        <v>-12.82</v>
      </c>
      <c r="R405">
        <v>0.52</v>
      </c>
      <c r="S405">
        <v>-5.0199999999999996</v>
      </c>
      <c r="T405">
        <v>2.2999999999999998</v>
      </c>
      <c r="U405">
        <v>1.53</v>
      </c>
      <c r="V405">
        <v>1.74</v>
      </c>
      <c r="W405">
        <v>2.86</v>
      </c>
      <c r="X405">
        <v>1.77</v>
      </c>
      <c r="Y405">
        <v>3.62</v>
      </c>
      <c r="Z405">
        <v>2.34</v>
      </c>
      <c r="AA405">
        <v>2.96</v>
      </c>
      <c r="AB405">
        <v>0.56000000000000005</v>
      </c>
      <c r="AC405">
        <v>4.4800000000000004</v>
      </c>
      <c r="AD405">
        <v>0.28999999999999998</v>
      </c>
      <c r="AE405">
        <v>1.39</v>
      </c>
      <c r="AF405">
        <v>2.003333333333333</v>
      </c>
      <c r="AG405" t="str">
        <f>HYPERLINK("https://finance.naver.com/item/fchart.naver?code=005670", "푸드웰 차트보기")</f>
        <v>푸드웰 차트보기</v>
      </c>
    </row>
    <row r="406" spans="1:33" x14ac:dyDescent="0.3">
      <c r="A406" t="s">
        <v>1651</v>
      </c>
      <c r="B406" t="s">
        <v>34</v>
      </c>
      <c r="C406" t="s">
        <v>1652</v>
      </c>
      <c r="D406">
        <v>945.95</v>
      </c>
      <c r="E406" t="s">
        <v>1653</v>
      </c>
      <c r="F406">
        <v>0</v>
      </c>
      <c r="G406">
        <v>0</v>
      </c>
      <c r="H406">
        <v>0</v>
      </c>
      <c r="I406">
        <v>2.0499999523162842</v>
      </c>
      <c r="J406" t="s">
        <v>1654</v>
      </c>
      <c r="K406">
        <v>5420</v>
      </c>
      <c r="L406">
        <v>4400</v>
      </c>
      <c r="M406">
        <v>-18.82</v>
      </c>
      <c r="N406">
        <v>-7.17</v>
      </c>
      <c r="O406">
        <v>14.99</v>
      </c>
      <c r="P406">
        <v>-3.62</v>
      </c>
      <c r="Q406">
        <v>-13.99</v>
      </c>
      <c r="R406">
        <v>-2.88</v>
      </c>
      <c r="S406">
        <v>1.29</v>
      </c>
      <c r="T406">
        <v>3.28</v>
      </c>
      <c r="U406">
        <v>5.19</v>
      </c>
      <c r="V406">
        <v>2.64</v>
      </c>
      <c r="W406">
        <v>4.5599999999999996</v>
      </c>
      <c r="X406">
        <v>2.68</v>
      </c>
      <c r="Y406">
        <v>0.9</v>
      </c>
      <c r="Z406">
        <v>2.19</v>
      </c>
      <c r="AA406">
        <v>2.89</v>
      </c>
      <c r="AB406">
        <v>1.37</v>
      </c>
      <c r="AC406">
        <v>3.07</v>
      </c>
      <c r="AD406">
        <v>1.07</v>
      </c>
      <c r="AE406">
        <v>1.43</v>
      </c>
      <c r="AF406">
        <v>2.003333333333333</v>
      </c>
      <c r="AG406" t="str">
        <f>HYPERLINK("https://finance.naver.com/item/fchart.naver?code=001525", "동양우 차트보기")</f>
        <v>동양우 차트보기</v>
      </c>
    </row>
    <row r="407" spans="1:33" x14ac:dyDescent="0.3">
      <c r="A407" t="s">
        <v>1655</v>
      </c>
      <c r="B407" t="s">
        <v>34</v>
      </c>
      <c r="C407" t="s">
        <v>1656</v>
      </c>
      <c r="D407">
        <v>297058.28999999998</v>
      </c>
      <c r="E407" t="s">
        <v>1657</v>
      </c>
      <c r="F407">
        <v>54.17</v>
      </c>
      <c r="G407">
        <v>13.39000034332275</v>
      </c>
      <c r="H407">
        <v>7200</v>
      </c>
      <c r="I407">
        <v>0.25999999046325678</v>
      </c>
      <c r="J407" t="s">
        <v>1658</v>
      </c>
      <c r="K407">
        <v>256000</v>
      </c>
      <c r="L407">
        <v>390000</v>
      </c>
      <c r="M407">
        <v>52.34</v>
      </c>
      <c r="N407">
        <v>20.93</v>
      </c>
      <c r="O407">
        <v>1.87</v>
      </c>
      <c r="P407">
        <v>12.65</v>
      </c>
      <c r="Q407">
        <v>-4.68</v>
      </c>
      <c r="R407">
        <v>4.55</v>
      </c>
      <c r="S407">
        <v>6.53</v>
      </c>
      <c r="T407">
        <v>3.4</v>
      </c>
      <c r="U407">
        <v>3.12</v>
      </c>
      <c r="V407">
        <v>5.62</v>
      </c>
      <c r="W407">
        <v>5.53</v>
      </c>
      <c r="X407">
        <v>5.35</v>
      </c>
      <c r="Y407">
        <v>4.97</v>
      </c>
      <c r="Z407">
        <v>6.16</v>
      </c>
      <c r="AA407">
        <v>0.6</v>
      </c>
      <c r="AB407">
        <v>2.25</v>
      </c>
      <c r="AC407">
        <v>0.85</v>
      </c>
      <c r="AD407">
        <v>0.85</v>
      </c>
      <c r="AE407">
        <v>1.31</v>
      </c>
      <c r="AF407">
        <v>2.003333333333333</v>
      </c>
      <c r="AG407" t="str">
        <f>HYPERLINK("https://finance.naver.com/item/fchart.naver?code=267260", "HD현대일렉트릭 차트보기")</f>
        <v>HD현대일렉트릭 차트보기</v>
      </c>
    </row>
    <row r="408" spans="1:33" x14ac:dyDescent="0.3">
      <c r="A408" t="s">
        <v>1659</v>
      </c>
      <c r="B408" t="s">
        <v>34</v>
      </c>
      <c r="C408" t="s">
        <v>1660</v>
      </c>
      <c r="D408">
        <v>102477.38</v>
      </c>
      <c r="E408" t="s">
        <v>1661</v>
      </c>
      <c r="F408">
        <v>17.32</v>
      </c>
      <c r="G408">
        <v>2.4200000762939449</v>
      </c>
      <c r="H408">
        <v>1504</v>
      </c>
      <c r="I408">
        <v>1.5399999618530269</v>
      </c>
      <c r="J408" t="s">
        <v>1662</v>
      </c>
      <c r="K408">
        <v>30350</v>
      </c>
      <c r="L408">
        <v>26050</v>
      </c>
      <c r="M408">
        <v>-14.17</v>
      </c>
      <c r="N408">
        <v>-3.52</v>
      </c>
      <c r="O408">
        <v>-2</v>
      </c>
      <c r="P408">
        <v>-7.86</v>
      </c>
      <c r="Q408">
        <v>-6.91</v>
      </c>
      <c r="R408">
        <v>5.99</v>
      </c>
      <c r="S408">
        <v>2.02</v>
      </c>
      <c r="T408">
        <v>1.52</v>
      </c>
      <c r="U408">
        <v>2.0099999999999998</v>
      </c>
      <c r="V408">
        <v>2.34</v>
      </c>
      <c r="W408">
        <v>4.5999999999999996</v>
      </c>
      <c r="X408">
        <v>2.09</v>
      </c>
      <c r="Y408">
        <v>2.0499999999999998</v>
      </c>
      <c r="Z408">
        <v>2.3199999999999998</v>
      </c>
      <c r="AA408">
        <v>1</v>
      </c>
      <c r="AB408">
        <v>3.36</v>
      </c>
      <c r="AC408">
        <v>1.5</v>
      </c>
      <c r="AD408">
        <v>2.87</v>
      </c>
      <c r="AE408">
        <v>0.99</v>
      </c>
      <c r="AF408">
        <v>2.0066666666666668</v>
      </c>
      <c r="AG408" t="str">
        <f>HYPERLINK("https://finance.naver.com/item/fchart.naver?code=001060", "JW중외제약 차트보기")</f>
        <v>JW중외제약 차트보기</v>
      </c>
    </row>
    <row r="409" spans="1:33" x14ac:dyDescent="0.3">
      <c r="A409" t="s">
        <v>1663</v>
      </c>
      <c r="B409" t="s">
        <v>55</v>
      </c>
      <c r="C409" t="s">
        <v>1664</v>
      </c>
      <c r="D409">
        <v>105251.57</v>
      </c>
      <c r="E409" t="s">
        <v>1665</v>
      </c>
      <c r="F409">
        <v>0</v>
      </c>
      <c r="G409">
        <v>1.4600000381469731</v>
      </c>
      <c r="H409">
        <v>0</v>
      </c>
      <c r="I409">
        <v>0</v>
      </c>
      <c r="J409" t="s">
        <v>1666</v>
      </c>
      <c r="K409">
        <v>1853</v>
      </c>
      <c r="L409">
        <v>1305</v>
      </c>
      <c r="M409">
        <v>-29.57</v>
      </c>
      <c r="N409">
        <v>-1.51</v>
      </c>
      <c r="O409">
        <v>-7.49</v>
      </c>
      <c r="P409">
        <v>1.47</v>
      </c>
      <c r="Q409">
        <v>-5.72</v>
      </c>
      <c r="R409">
        <v>1</v>
      </c>
      <c r="S409">
        <v>-10.63</v>
      </c>
      <c r="T409">
        <v>2.2400000000000002</v>
      </c>
      <c r="U409">
        <v>2.13</v>
      </c>
      <c r="V409">
        <v>2.79</v>
      </c>
      <c r="W409">
        <v>4.0599999999999996</v>
      </c>
      <c r="X409">
        <v>3.4</v>
      </c>
      <c r="Y409">
        <v>1.88</v>
      </c>
      <c r="Z409">
        <v>0.67</v>
      </c>
      <c r="AA409">
        <v>3.52</v>
      </c>
      <c r="AB409">
        <v>0.53</v>
      </c>
      <c r="AC409">
        <v>1.41</v>
      </c>
      <c r="AD409">
        <v>0.28999999999999998</v>
      </c>
      <c r="AE409">
        <v>5.65</v>
      </c>
      <c r="AF409">
        <v>2.0116666666666672</v>
      </c>
      <c r="AG409" t="str">
        <f>HYPERLINK("https://finance.naver.com/item/fchart.naver?code=032790", "엠젠솔루션 차트보기")</f>
        <v>엠젠솔루션 차트보기</v>
      </c>
    </row>
    <row r="410" spans="1:33" x14ac:dyDescent="0.3">
      <c r="A410" t="s">
        <v>1667</v>
      </c>
      <c r="B410" t="s">
        <v>55</v>
      </c>
      <c r="C410" t="s">
        <v>1668</v>
      </c>
      <c r="D410">
        <v>340424.19</v>
      </c>
      <c r="E410" t="s">
        <v>1669</v>
      </c>
      <c r="F410">
        <v>0</v>
      </c>
      <c r="G410">
        <v>2.1700000762939449</v>
      </c>
      <c r="H410">
        <v>0</v>
      </c>
      <c r="I410">
        <v>0</v>
      </c>
      <c r="J410" t="s">
        <v>1670</v>
      </c>
      <c r="K410">
        <v>2325</v>
      </c>
      <c r="L410">
        <v>1706</v>
      </c>
      <c r="M410">
        <v>-26.62</v>
      </c>
      <c r="N410">
        <v>-12.91</v>
      </c>
      <c r="O410">
        <v>11.13</v>
      </c>
      <c r="P410">
        <v>-9.76</v>
      </c>
      <c r="Q410">
        <v>-29.46</v>
      </c>
      <c r="R410">
        <v>-2.92</v>
      </c>
      <c r="S410">
        <v>2.86</v>
      </c>
      <c r="T410">
        <v>4.3899999999999997</v>
      </c>
      <c r="U410">
        <v>3.5</v>
      </c>
      <c r="V410">
        <v>8.81</v>
      </c>
      <c r="W410">
        <v>7.37</v>
      </c>
      <c r="X410">
        <v>6.23</v>
      </c>
      <c r="Y410">
        <v>7.45</v>
      </c>
      <c r="Z410">
        <v>2.94</v>
      </c>
      <c r="AA410">
        <v>3.18</v>
      </c>
      <c r="AB410">
        <v>1.1100000000000001</v>
      </c>
      <c r="AC410">
        <v>4</v>
      </c>
      <c r="AD410">
        <v>0.47</v>
      </c>
      <c r="AE410">
        <v>0.38</v>
      </c>
      <c r="AF410">
        <v>2.0133333333333341</v>
      </c>
      <c r="AG410" t="str">
        <f>HYPERLINK("https://finance.naver.com/item/fchart.naver?code=062970", "한국첨단소재 차트보기")</f>
        <v>한국첨단소재 차트보기</v>
      </c>
    </row>
    <row r="411" spans="1:33" x14ac:dyDescent="0.3">
      <c r="A411" t="s">
        <v>1671</v>
      </c>
      <c r="B411" t="s">
        <v>34</v>
      </c>
      <c r="C411" t="s">
        <v>1672</v>
      </c>
      <c r="D411">
        <v>150285.62</v>
      </c>
      <c r="E411" t="s">
        <v>1673</v>
      </c>
      <c r="F411">
        <v>15.65</v>
      </c>
      <c r="G411">
        <v>0.81999999284744263</v>
      </c>
      <c r="H411">
        <v>875</v>
      </c>
      <c r="I411">
        <v>1.4600000381469731</v>
      </c>
      <c r="J411" t="s">
        <v>1674</v>
      </c>
      <c r="K411">
        <v>18770</v>
      </c>
      <c r="L411">
        <v>13690</v>
      </c>
      <c r="M411">
        <v>-27.06</v>
      </c>
      <c r="N411">
        <v>-1.51</v>
      </c>
      <c r="O411">
        <v>-6.68</v>
      </c>
      <c r="P411">
        <v>-2.98</v>
      </c>
      <c r="Q411">
        <v>-9.9700000000000006</v>
      </c>
      <c r="R411">
        <v>-3.55</v>
      </c>
      <c r="S411">
        <v>-7.42</v>
      </c>
      <c r="T411">
        <v>1.78</v>
      </c>
      <c r="U411">
        <v>4.6399999999999997</v>
      </c>
      <c r="V411">
        <v>1.97</v>
      </c>
      <c r="W411">
        <v>4.3899999999999997</v>
      </c>
      <c r="X411">
        <v>1.92</v>
      </c>
      <c r="Y411">
        <v>1.78</v>
      </c>
      <c r="Z411">
        <v>0.85</v>
      </c>
      <c r="AA411">
        <v>1.44</v>
      </c>
      <c r="AB411">
        <v>1.51</v>
      </c>
      <c r="AC411">
        <v>2.27</v>
      </c>
      <c r="AD411">
        <v>1.85</v>
      </c>
      <c r="AE411">
        <v>4.17</v>
      </c>
      <c r="AF411">
        <v>2.0150000000000001</v>
      </c>
      <c r="AG411" t="str">
        <f>HYPERLINK("https://finance.naver.com/item/fchart.naver?code=068290", "삼성출판사 차트보기")</f>
        <v>삼성출판사 차트보기</v>
      </c>
    </row>
    <row r="412" spans="1:33" x14ac:dyDescent="0.3">
      <c r="A412" t="s">
        <v>1675</v>
      </c>
      <c r="B412" t="s">
        <v>55</v>
      </c>
      <c r="C412" t="s">
        <v>1676</v>
      </c>
      <c r="D412">
        <v>34021.71</v>
      </c>
      <c r="E412" t="s">
        <v>1677</v>
      </c>
      <c r="F412">
        <v>0</v>
      </c>
      <c r="G412">
        <v>0.52999997138977051</v>
      </c>
      <c r="H412">
        <v>0</v>
      </c>
      <c r="I412">
        <v>0</v>
      </c>
      <c r="J412" t="s">
        <v>1678</v>
      </c>
      <c r="K412">
        <v>2750</v>
      </c>
      <c r="L412">
        <v>2425</v>
      </c>
      <c r="M412">
        <v>-11.82</v>
      </c>
      <c r="N412">
        <v>-3.58</v>
      </c>
      <c r="O412">
        <v>0.6</v>
      </c>
      <c r="P412">
        <v>2.4</v>
      </c>
      <c r="Q412">
        <v>-5.09</v>
      </c>
      <c r="R412">
        <v>-3.55</v>
      </c>
      <c r="S412">
        <v>-7.3</v>
      </c>
      <c r="T412">
        <v>2.15</v>
      </c>
      <c r="U412">
        <v>1.53</v>
      </c>
      <c r="V412">
        <v>2.1800000000000002</v>
      </c>
      <c r="W412">
        <v>4.26</v>
      </c>
      <c r="X412">
        <v>1.55</v>
      </c>
      <c r="Y412">
        <v>1.34</v>
      </c>
      <c r="Z412">
        <v>1.67</v>
      </c>
      <c r="AA412">
        <v>0.39</v>
      </c>
      <c r="AB412">
        <v>1.1000000000000001</v>
      </c>
      <c r="AC412">
        <v>1.19</v>
      </c>
      <c r="AD412">
        <v>2.29</v>
      </c>
      <c r="AE412">
        <v>5.45</v>
      </c>
      <c r="AF412">
        <v>2.0150000000000001</v>
      </c>
      <c r="AG412" t="str">
        <f>HYPERLINK("https://finance.naver.com/item/fchart.naver?code=037030", "파워넷 차트보기")</f>
        <v>파워넷 차트보기</v>
      </c>
    </row>
    <row r="413" spans="1:33" x14ac:dyDescent="0.3">
      <c r="A413" t="s">
        <v>1679</v>
      </c>
      <c r="B413" t="s">
        <v>34</v>
      </c>
      <c r="C413" t="s">
        <v>1680</v>
      </c>
      <c r="D413">
        <v>32538.76</v>
      </c>
      <c r="E413" t="s">
        <v>1681</v>
      </c>
      <c r="F413">
        <v>6.47</v>
      </c>
      <c r="G413">
        <v>0.87000000476837158</v>
      </c>
      <c r="H413">
        <v>9751</v>
      </c>
      <c r="I413">
        <v>4.119999885559082</v>
      </c>
      <c r="J413" t="s">
        <v>1682</v>
      </c>
      <c r="K413">
        <v>75600</v>
      </c>
      <c r="L413">
        <v>63100</v>
      </c>
      <c r="M413">
        <v>-16.53</v>
      </c>
      <c r="N413">
        <v>-0.94</v>
      </c>
      <c r="O413">
        <v>1.1200000000000001</v>
      </c>
      <c r="P413">
        <v>0.94</v>
      </c>
      <c r="Q413">
        <v>-26.28</v>
      </c>
      <c r="R413">
        <v>-1.97</v>
      </c>
      <c r="S413">
        <v>14.3</v>
      </c>
      <c r="T413">
        <v>1.22</v>
      </c>
      <c r="U413">
        <v>2.2999999999999998</v>
      </c>
      <c r="V413">
        <v>2.0299999999999998</v>
      </c>
      <c r="W413">
        <v>3.57</v>
      </c>
      <c r="X413">
        <v>2.41</v>
      </c>
      <c r="Y413">
        <v>6.52</v>
      </c>
      <c r="Z413">
        <v>0.77</v>
      </c>
      <c r="AA413">
        <v>0.49</v>
      </c>
      <c r="AB413">
        <v>0.46</v>
      </c>
      <c r="AC413">
        <v>7.36</v>
      </c>
      <c r="AD413">
        <v>0.82</v>
      </c>
      <c r="AE413">
        <v>2.19</v>
      </c>
      <c r="AF413">
        <v>2.0150000000000001</v>
      </c>
      <c r="AG413" t="str">
        <f>HYPERLINK("https://finance.naver.com/item/fchart.naver?code=005180", "빙그레 차트보기")</f>
        <v>빙그레 차트보기</v>
      </c>
    </row>
    <row r="414" spans="1:33" x14ac:dyDescent="0.3">
      <c r="A414" t="s">
        <v>1683</v>
      </c>
      <c r="B414" t="s">
        <v>34</v>
      </c>
      <c r="C414" t="s">
        <v>1684</v>
      </c>
      <c r="D414">
        <v>309694.52</v>
      </c>
      <c r="E414" t="s">
        <v>1685</v>
      </c>
      <c r="F414">
        <v>0</v>
      </c>
      <c r="G414">
        <v>0.72000002861022949</v>
      </c>
      <c r="H414">
        <v>0</v>
      </c>
      <c r="I414">
        <v>0</v>
      </c>
      <c r="J414" t="s">
        <v>1686</v>
      </c>
      <c r="K414">
        <v>491</v>
      </c>
      <c r="L414">
        <v>416</v>
      </c>
      <c r="M414">
        <v>-15.27</v>
      </c>
      <c r="N414">
        <v>-0.24</v>
      </c>
      <c r="O414">
        <v>-4.51</v>
      </c>
      <c r="P414">
        <v>-0.22</v>
      </c>
      <c r="Q414">
        <v>-6.67</v>
      </c>
      <c r="R414">
        <v>-2.06</v>
      </c>
      <c r="S414">
        <v>0</v>
      </c>
      <c r="T414">
        <v>0.81</v>
      </c>
      <c r="U414">
        <v>0.89</v>
      </c>
      <c r="V414">
        <v>1</v>
      </c>
      <c r="W414">
        <v>2.1</v>
      </c>
      <c r="X414">
        <v>0.62</v>
      </c>
      <c r="Y414">
        <v>2.94</v>
      </c>
      <c r="Z414">
        <v>0.3</v>
      </c>
      <c r="AA414">
        <v>5.07</v>
      </c>
      <c r="AB414">
        <v>0.22</v>
      </c>
      <c r="AC414">
        <v>3.18</v>
      </c>
      <c r="AD414">
        <v>3.32</v>
      </c>
      <c r="AE414">
        <v>0</v>
      </c>
      <c r="AF414">
        <v>2.0150000000000001</v>
      </c>
      <c r="AG414" t="str">
        <f>HYPERLINK("https://finance.naver.com/item/fchart.naver?code=000890", "보해양조 차트보기")</f>
        <v>보해양조 차트보기</v>
      </c>
    </row>
    <row r="415" spans="1:33" x14ac:dyDescent="0.3">
      <c r="A415" t="s">
        <v>1687</v>
      </c>
      <c r="B415" t="s">
        <v>55</v>
      </c>
      <c r="C415" t="s">
        <v>1688</v>
      </c>
      <c r="D415">
        <v>82581.62</v>
      </c>
      <c r="E415" t="s">
        <v>1689</v>
      </c>
      <c r="F415">
        <v>8.32</v>
      </c>
      <c r="G415">
        <v>1.440000057220459</v>
      </c>
      <c r="H415">
        <v>157</v>
      </c>
      <c r="I415">
        <v>1.529999971389771</v>
      </c>
      <c r="J415" t="s">
        <v>1690</v>
      </c>
      <c r="K415">
        <v>1723</v>
      </c>
      <c r="L415">
        <v>1306</v>
      </c>
      <c r="M415">
        <v>-24.2</v>
      </c>
      <c r="N415">
        <v>-1.51</v>
      </c>
      <c r="O415">
        <v>-2.69</v>
      </c>
      <c r="P415">
        <v>-3.09</v>
      </c>
      <c r="Q415">
        <v>-10.06</v>
      </c>
      <c r="R415">
        <v>0.71</v>
      </c>
      <c r="S415">
        <v>-2.61</v>
      </c>
      <c r="T415">
        <v>2.06</v>
      </c>
      <c r="U415">
        <v>1.45</v>
      </c>
      <c r="V415">
        <v>1</v>
      </c>
      <c r="W415">
        <v>2.7</v>
      </c>
      <c r="X415">
        <v>1.2</v>
      </c>
      <c r="Y415">
        <v>1.24</v>
      </c>
      <c r="Z415">
        <v>0.73</v>
      </c>
      <c r="AA415">
        <v>1.86</v>
      </c>
      <c r="AB415">
        <v>3.09</v>
      </c>
      <c r="AC415">
        <v>3.73</v>
      </c>
      <c r="AD415">
        <v>0.59</v>
      </c>
      <c r="AE415">
        <v>2.1</v>
      </c>
      <c r="AF415">
        <v>2.0166666666666671</v>
      </c>
      <c r="AG415" t="str">
        <f>HYPERLINK("https://finance.naver.com/item/fchart.naver?code=307280", "원바이오젠 차트보기")</f>
        <v>원바이오젠 차트보기</v>
      </c>
    </row>
    <row r="416" spans="1:33" x14ac:dyDescent="0.3">
      <c r="A416" t="s">
        <v>1691</v>
      </c>
      <c r="B416" t="s">
        <v>55</v>
      </c>
      <c r="C416" t="s">
        <v>1692</v>
      </c>
      <c r="D416">
        <v>14883.24</v>
      </c>
      <c r="E416" t="s">
        <v>1693</v>
      </c>
      <c r="F416">
        <v>8.2899999999999991</v>
      </c>
      <c r="G416">
        <v>0.9100000262260437</v>
      </c>
      <c r="H416">
        <v>451</v>
      </c>
      <c r="I416">
        <v>3.2100000381469731</v>
      </c>
      <c r="J416" t="s">
        <v>1694</v>
      </c>
      <c r="K416">
        <v>3410</v>
      </c>
      <c r="L416">
        <v>3740</v>
      </c>
      <c r="M416">
        <v>9.68</v>
      </c>
      <c r="N416">
        <v>-0.8</v>
      </c>
      <c r="O416">
        <v>-1.33</v>
      </c>
      <c r="P416">
        <v>1.63</v>
      </c>
      <c r="Q416">
        <v>6.29</v>
      </c>
      <c r="R416">
        <v>7.89</v>
      </c>
      <c r="S416">
        <v>-2.5299999999999998</v>
      </c>
      <c r="T416">
        <v>0.89</v>
      </c>
      <c r="U416">
        <v>1.24</v>
      </c>
      <c r="V416">
        <v>1.1100000000000001</v>
      </c>
      <c r="W416">
        <v>3.1</v>
      </c>
      <c r="X416">
        <v>1.88</v>
      </c>
      <c r="Y416">
        <v>1.04</v>
      </c>
      <c r="Z416">
        <v>0.9</v>
      </c>
      <c r="AA416">
        <v>1.07</v>
      </c>
      <c r="AB416">
        <v>1.47</v>
      </c>
      <c r="AC416">
        <v>2.0299999999999998</v>
      </c>
      <c r="AD416">
        <v>4.2</v>
      </c>
      <c r="AE416">
        <v>2.4300000000000002</v>
      </c>
      <c r="AF416">
        <v>2.0166666666666671</v>
      </c>
      <c r="AG416" t="str">
        <f>HYPERLINK("https://finance.naver.com/item/fchart.naver?code=332370", "아이디피 차트보기")</f>
        <v>아이디피 차트보기</v>
      </c>
    </row>
    <row r="417" spans="1:33" x14ac:dyDescent="0.3">
      <c r="A417" t="s">
        <v>1695</v>
      </c>
      <c r="B417" t="s">
        <v>34</v>
      </c>
      <c r="C417" t="s">
        <v>1696</v>
      </c>
      <c r="D417">
        <v>620.42999999999995</v>
      </c>
      <c r="E417" t="s">
        <v>1697</v>
      </c>
      <c r="F417">
        <v>0</v>
      </c>
      <c r="G417">
        <v>0</v>
      </c>
      <c r="H417">
        <v>0</v>
      </c>
      <c r="I417">
        <v>5.940000057220459</v>
      </c>
      <c r="J417" t="s">
        <v>1698</v>
      </c>
      <c r="K417">
        <v>2210</v>
      </c>
      <c r="L417">
        <v>2190</v>
      </c>
      <c r="M417">
        <v>-0.9</v>
      </c>
      <c r="N417">
        <v>-1.79</v>
      </c>
      <c r="O417">
        <v>1.59</v>
      </c>
      <c r="P417">
        <v>2.31</v>
      </c>
      <c r="Q417">
        <v>-0.69</v>
      </c>
      <c r="R417">
        <v>1.1499999999999999</v>
      </c>
      <c r="S417">
        <v>-2.04</v>
      </c>
      <c r="T417">
        <v>0.89</v>
      </c>
      <c r="U417">
        <v>0.64</v>
      </c>
      <c r="V417">
        <v>0.87</v>
      </c>
      <c r="W417">
        <v>1.1299999999999999</v>
      </c>
      <c r="X417">
        <v>0.8</v>
      </c>
      <c r="Y417">
        <v>0.7</v>
      </c>
      <c r="Z417">
        <v>2.0099999999999998</v>
      </c>
      <c r="AA417">
        <v>2.48</v>
      </c>
      <c r="AB417">
        <v>2.66</v>
      </c>
      <c r="AC417">
        <v>0.61</v>
      </c>
      <c r="AD417">
        <v>1.44</v>
      </c>
      <c r="AE417">
        <v>2.91</v>
      </c>
      <c r="AF417">
        <v>2.018333333333334</v>
      </c>
      <c r="AG417" t="str">
        <f>HYPERLINK("https://finance.naver.com/item/fchart.naver?code=003465", "유화증권우 차트보기")</f>
        <v>유화증권우 차트보기</v>
      </c>
    </row>
    <row r="418" spans="1:33" x14ac:dyDescent="0.3">
      <c r="A418" t="s">
        <v>1699</v>
      </c>
      <c r="B418" t="s">
        <v>55</v>
      </c>
      <c r="C418" t="s">
        <v>1700</v>
      </c>
      <c r="D418">
        <v>3931.48</v>
      </c>
      <c r="E418" t="s">
        <v>1701</v>
      </c>
      <c r="F418">
        <v>0</v>
      </c>
      <c r="G418">
        <v>0</v>
      </c>
      <c r="H418">
        <v>0</v>
      </c>
      <c r="I418">
        <v>0</v>
      </c>
      <c r="J418" t="s">
        <v>1702</v>
      </c>
      <c r="K418">
        <v>2235</v>
      </c>
      <c r="L418">
        <v>2160</v>
      </c>
      <c r="M418">
        <v>-3.36</v>
      </c>
      <c r="N418">
        <v>-1.37</v>
      </c>
      <c r="O418">
        <v>0.23</v>
      </c>
      <c r="P418">
        <v>-0.23</v>
      </c>
      <c r="Q418">
        <v>-1.58</v>
      </c>
      <c r="R418">
        <v>-0.68</v>
      </c>
      <c r="S418">
        <v>1.1399999999999999</v>
      </c>
      <c r="T418">
        <v>0.28999999999999998</v>
      </c>
      <c r="U418">
        <v>0.47</v>
      </c>
      <c r="V418">
        <v>0.64</v>
      </c>
      <c r="W418">
        <v>0.55000000000000004</v>
      </c>
      <c r="X418">
        <v>0.49</v>
      </c>
      <c r="Y418">
        <v>0.5</v>
      </c>
      <c r="Z418">
        <v>4.72</v>
      </c>
      <c r="AA418">
        <v>0.49</v>
      </c>
      <c r="AB418">
        <v>0.36</v>
      </c>
      <c r="AC418">
        <v>2.87</v>
      </c>
      <c r="AD418">
        <v>1.39</v>
      </c>
      <c r="AE418">
        <v>2.2799999999999998</v>
      </c>
      <c r="AF418">
        <v>2.018333333333334</v>
      </c>
      <c r="AG418" t="str">
        <f>HYPERLINK("https://finance.naver.com/item/fchart.naver?code=467930", "IBKS제23호스팩 차트보기")</f>
        <v>IBKS제23호스팩 차트보기</v>
      </c>
    </row>
    <row r="419" spans="1:33" x14ac:dyDescent="0.3">
      <c r="A419" t="s">
        <v>1703</v>
      </c>
      <c r="B419" t="s">
        <v>34</v>
      </c>
      <c r="C419" t="s">
        <v>1704</v>
      </c>
      <c r="D419">
        <v>136318.04999999999</v>
      </c>
      <c r="E419" t="s">
        <v>1705</v>
      </c>
      <c r="F419">
        <v>14.65</v>
      </c>
      <c r="G419">
        <v>0.41999998688697809</v>
      </c>
      <c r="H419">
        <v>568</v>
      </c>
      <c r="I419">
        <v>3.25</v>
      </c>
      <c r="J419" t="s">
        <v>1706</v>
      </c>
      <c r="K419">
        <v>9520</v>
      </c>
      <c r="L419">
        <v>8320</v>
      </c>
      <c r="M419">
        <v>-12.61</v>
      </c>
      <c r="N419">
        <v>-4.1500000000000004</v>
      </c>
      <c r="O419">
        <v>2.69</v>
      </c>
      <c r="P419">
        <v>1.49</v>
      </c>
      <c r="Q419">
        <v>-9.74</v>
      </c>
      <c r="R419">
        <v>-9.1199999999999992</v>
      </c>
      <c r="S419">
        <v>19.22</v>
      </c>
      <c r="T419">
        <v>2.13</v>
      </c>
      <c r="U419">
        <v>2.87</v>
      </c>
      <c r="V419">
        <v>2.44</v>
      </c>
      <c r="W419">
        <v>3.27</v>
      </c>
      <c r="X419">
        <v>4.32</v>
      </c>
      <c r="Y419">
        <v>5.45</v>
      </c>
      <c r="Z419">
        <v>1.95</v>
      </c>
      <c r="AA419">
        <v>0.94</v>
      </c>
      <c r="AB419">
        <v>0.61</v>
      </c>
      <c r="AC419">
        <v>2.98</v>
      </c>
      <c r="AD419">
        <v>2.11</v>
      </c>
      <c r="AE419">
        <v>3.53</v>
      </c>
      <c r="AF419">
        <v>2.02</v>
      </c>
      <c r="AG419" t="str">
        <f>HYPERLINK("https://finance.naver.com/item/fchart.naver?code=084690", "대상홀딩스 차트보기")</f>
        <v>대상홀딩스 차트보기</v>
      </c>
    </row>
    <row r="420" spans="1:33" x14ac:dyDescent="0.3">
      <c r="A420" t="s">
        <v>1707</v>
      </c>
      <c r="B420" t="s">
        <v>34</v>
      </c>
      <c r="C420" t="s">
        <v>1708</v>
      </c>
      <c r="D420">
        <v>620</v>
      </c>
      <c r="E420" t="s">
        <v>1709</v>
      </c>
      <c r="F420">
        <v>20.190000000000001</v>
      </c>
      <c r="G420">
        <v>0.41999998688697809</v>
      </c>
      <c r="H420">
        <v>2546</v>
      </c>
      <c r="I420">
        <v>0</v>
      </c>
      <c r="J420" t="s">
        <v>1710</v>
      </c>
      <c r="K420">
        <v>50400</v>
      </c>
      <c r="L420">
        <v>51400</v>
      </c>
      <c r="M420">
        <v>1.98</v>
      </c>
      <c r="N420">
        <v>-4.46</v>
      </c>
      <c r="O420">
        <v>-1.82</v>
      </c>
      <c r="P420">
        <v>-1.79</v>
      </c>
      <c r="Q420">
        <v>5.9</v>
      </c>
      <c r="R420">
        <v>3.21</v>
      </c>
      <c r="S420">
        <v>-0.39</v>
      </c>
      <c r="T420">
        <v>1.47</v>
      </c>
      <c r="U420">
        <v>1.26</v>
      </c>
      <c r="V420">
        <v>0.93</v>
      </c>
      <c r="W420">
        <v>2.35</v>
      </c>
      <c r="X420">
        <v>1.24</v>
      </c>
      <c r="Y420">
        <v>0.62</v>
      </c>
      <c r="Z420">
        <v>3.03</v>
      </c>
      <c r="AA420">
        <v>1.44</v>
      </c>
      <c r="AB420">
        <v>1.92</v>
      </c>
      <c r="AC420">
        <v>2.5099999999999998</v>
      </c>
      <c r="AD420">
        <v>2.59</v>
      </c>
      <c r="AE420">
        <v>0.63</v>
      </c>
      <c r="AF420">
        <v>2.02</v>
      </c>
      <c r="AG420" t="str">
        <f>HYPERLINK("https://finance.naver.com/item/fchart.naver?code=004700", "조광피혁 차트보기")</f>
        <v>조광피혁 차트보기</v>
      </c>
    </row>
    <row r="421" spans="1:33" x14ac:dyDescent="0.3">
      <c r="A421" t="s">
        <v>1711</v>
      </c>
      <c r="B421" t="s">
        <v>55</v>
      </c>
      <c r="C421" t="s">
        <v>1712</v>
      </c>
      <c r="D421">
        <v>27536.1</v>
      </c>
      <c r="E421" t="s">
        <v>1713</v>
      </c>
      <c r="F421">
        <v>3.71</v>
      </c>
      <c r="G421">
        <v>0.4699999988079071</v>
      </c>
      <c r="H421">
        <v>1176</v>
      </c>
      <c r="I421">
        <v>5.0399999618530273</v>
      </c>
      <c r="J421" t="s">
        <v>1714</v>
      </c>
      <c r="K421">
        <v>5180</v>
      </c>
      <c r="L421">
        <v>4365</v>
      </c>
      <c r="M421">
        <v>-15.73</v>
      </c>
      <c r="N421">
        <v>-2.2400000000000002</v>
      </c>
      <c r="O421">
        <v>-0.33</v>
      </c>
      <c r="P421">
        <v>1</v>
      </c>
      <c r="Q421">
        <v>-10.64</v>
      </c>
      <c r="R421">
        <v>-1.29</v>
      </c>
      <c r="S421">
        <v>-3.07</v>
      </c>
      <c r="T421">
        <v>0.8</v>
      </c>
      <c r="U421">
        <v>0.84</v>
      </c>
      <c r="V421">
        <v>1.07</v>
      </c>
      <c r="W421">
        <v>3.38</v>
      </c>
      <c r="X421">
        <v>0.83</v>
      </c>
      <c r="Y421">
        <v>0.93</v>
      </c>
      <c r="Z421">
        <v>2.8</v>
      </c>
      <c r="AA421">
        <v>0.39</v>
      </c>
      <c r="AB421">
        <v>0.93</v>
      </c>
      <c r="AC421">
        <v>3.15</v>
      </c>
      <c r="AD421">
        <v>1.55</v>
      </c>
      <c r="AE421">
        <v>3.3</v>
      </c>
      <c r="AF421">
        <v>2.02</v>
      </c>
      <c r="AG421" t="str">
        <f>HYPERLINK("https://finance.naver.com/item/fchart.naver?code=046440", "KG모빌리언스 차트보기")</f>
        <v>KG모빌리언스 차트보기</v>
      </c>
    </row>
    <row r="422" spans="1:33" x14ac:dyDescent="0.3">
      <c r="A422" t="s">
        <v>1715</v>
      </c>
      <c r="B422" t="s">
        <v>34</v>
      </c>
      <c r="C422" t="s">
        <v>1716</v>
      </c>
      <c r="D422">
        <v>205871.9</v>
      </c>
      <c r="E422" t="s">
        <v>1717</v>
      </c>
      <c r="F422">
        <v>81.239999999999995</v>
      </c>
      <c r="G422">
        <v>4.8400001525878906</v>
      </c>
      <c r="H422">
        <v>858</v>
      </c>
      <c r="I422">
        <v>0.74000000953674316</v>
      </c>
      <c r="J422" t="s">
        <v>1718</v>
      </c>
      <c r="K422">
        <v>69300</v>
      </c>
      <c r="L422">
        <v>69700</v>
      </c>
      <c r="M422">
        <v>0.57999999999999996</v>
      </c>
      <c r="N422">
        <v>3.41</v>
      </c>
      <c r="O422">
        <v>6.83</v>
      </c>
      <c r="P422">
        <v>-0.45</v>
      </c>
      <c r="Q422">
        <v>-11.13</v>
      </c>
      <c r="R422">
        <v>11.58</v>
      </c>
      <c r="S422">
        <v>-1.86</v>
      </c>
      <c r="T422">
        <v>1.95</v>
      </c>
      <c r="U422">
        <v>2.19</v>
      </c>
      <c r="V422">
        <v>2.6</v>
      </c>
      <c r="W422">
        <v>3.52</v>
      </c>
      <c r="X422">
        <v>4.1500000000000004</v>
      </c>
      <c r="Y422">
        <v>1.63</v>
      </c>
      <c r="Z422">
        <v>1.75</v>
      </c>
      <c r="AA422">
        <v>3.12</v>
      </c>
      <c r="AB422">
        <v>0.17</v>
      </c>
      <c r="AC422">
        <v>3.16</v>
      </c>
      <c r="AD422">
        <v>2.79</v>
      </c>
      <c r="AE422">
        <v>1.1399999999999999</v>
      </c>
      <c r="AF422">
        <v>2.0216666666666669</v>
      </c>
      <c r="AG422" t="str">
        <f>HYPERLINK("https://finance.naver.com/item/fchart.naver?code=052690", "한전기술 차트보기")</f>
        <v>한전기술 차트보기</v>
      </c>
    </row>
    <row r="423" spans="1:33" x14ac:dyDescent="0.3">
      <c r="A423" t="s">
        <v>1719</v>
      </c>
      <c r="B423" t="s">
        <v>55</v>
      </c>
      <c r="C423" t="s">
        <v>1720</v>
      </c>
      <c r="D423">
        <v>199092.52</v>
      </c>
      <c r="E423" t="s">
        <v>1721</v>
      </c>
      <c r="F423">
        <v>140.74</v>
      </c>
      <c r="G423">
        <v>1.8400000333786011</v>
      </c>
      <c r="H423">
        <v>135</v>
      </c>
      <c r="I423">
        <v>0.52999997138977051</v>
      </c>
      <c r="J423" t="s">
        <v>1722</v>
      </c>
      <c r="K423">
        <v>19880</v>
      </c>
      <c r="L423">
        <v>19000</v>
      </c>
      <c r="M423">
        <v>-4.43</v>
      </c>
      <c r="N423">
        <v>2.2599999999999998</v>
      </c>
      <c r="O423">
        <v>10.91</v>
      </c>
      <c r="P423">
        <v>3.94</v>
      </c>
      <c r="Q423">
        <v>-11.81</v>
      </c>
      <c r="R423">
        <v>-7.08</v>
      </c>
      <c r="S423">
        <v>6.16</v>
      </c>
      <c r="T423">
        <v>2.2599999999999998</v>
      </c>
      <c r="U423">
        <v>3.23</v>
      </c>
      <c r="V423">
        <v>4.6100000000000003</v>
      </c>
      <c r="W423">
        <v>3.48</v>
      </c>
      <c r="X423">
        <v>5.27</v>
      </c>
      <c r="Y423">
        <v>2.84</v>
      </c>
      <c r="Z423">
        <v>1</v>
      </c>
      <c r="AA423">
        <v>3.38</v>
      </c>
      <c r="AB423">
        <v>0.85</v>
      </c>
      <c r="AC423">
        <v>3.39</v>
      </c>
      <c r="AD423">
        <v>1.34</v>
      </c>
      <c r="AE423">
        <v>2.17</v>
      </c>
      <c r="AF423">
        <v>2.0216666666666669</v>
      </c>
      <c r="AG423" t="str">
        <f>HYPERLINK("https://finance.naver.com/item/fchart.naver?code=099190", "아이센스 차트보기")</f>
        <v>아이센스 차트보기</v>
      </c>
    </row>
    <row r="424" spans="1:33" x14ac:dyDescent="0.3">
      <c r="A424" t="s">
        <v>1723</v>
      </c>
      <c r="B424" t="s">
        <v>55</v>
      </c>
      <c r="C424" t="s">
        <v>1724</v>
      </c>
      <c r="D424">
        <v>24796.76</v>
      </c>
      <c r="E424" t="s">
        <v>1725</v>
      </c>
      <c r="F424">
        <v>0</v>
      </c>
      <c r="G424">
        <v>0.89999997615814209</v>
      </c>
      <c r="H424">
        <v>0</v>
      </c>
      <c r="I424">
        <v>0</v>
      </c>
      <c r="J424" t="s">
        <v>1726</v>
      </c>
      <c r="K424">
        <v>1033</v>
      </c>
      <c r="L424">
        <v>783</v>
      </c>
      <c r="M424">
        <v>-24.2</v>
      </c>
      <c r="N424">
        <v>0.13</v>
      </c>
      <c r="O424">
        <v>-7.39</v>
      </c>
      <c r="P424">
        <v>2.27</v>
      </c>
      <c r="Q424">
        <v>-12.79</v>
      </c>
      <c r="R424">
        <v>13.85</v>
      </c>
      <c r="S424">
        <v>-13.17</v>
      </c>
      <c r="T424">
        <v>2.4500000000000002</v>
      </c>
      <c r="U424">
        <v>1.75</v>
      </c>
      <c r="V424">
        <v>1.79</v>
      </c>
      <c r="W424">
        <v>4.0599999999999996</v>
      </c>
      <c r="X424">
        <v>8.06</v>
      </c>
      <c r="Y424">
        <v>7.66</v>
      </c>
      <c r="Z424">
        <v>0.05</v>
      </c>
      <c r="AA424">
        <v>4.22</v>
      </c>
      <c r="AB424">
        <v>1.27</v>
      </c>
      <c r="AC424">
        <v>3.15</v>
      </c>
      <c r="AD424">
        <v>1.72</v>
      </c>
      <c r="AE424">
        <v>1.72</v>
      </c>
      <c r="AF424">
        <v>2.0216666666666669</v>
      </c>
      <c r="AG424" t="str">
        <f>HYPERLINK("https://finance.naver.com/item/fchart.naver?code=050090", "비케이홀딩스 차트보기")</f>
        <v>비케이홀딩스 차트보기</v>
      </c>
    </row>
    <row r="425" spans="1:33" x14ac:dyDescent="0.3">
      <c r="A425" t="s">
        <v>1727</v>
      </c>
      <c r="B425" t="s">
        <v>55</v>
      </c>
      <c r="C425" t="s">
        <v>1728</v>
      </c>
      <c r="D425">
        <v>2106998.86</v>
      </c>
      <c r="E425" t="s">
        <v>1729</v>
      </c>
      <c r="F425">
        <v>21.09</v>
      </c>
      <c r="G425">
        <v>1.4600000381469731</v>
      </c>
      <c r="H425">
        <v>160</v>
      </c>
      <c r="I425">
        <v>0</v>
      </c>
      <c r="J425" t="s">
        <v>1730</v>
      </c>
      <c r="K425">
        <v>3930</v>
      </c>
      <c r="L425">
        <v>3375</v>
      </c>
      <c r="M425">
        <v>-14.12</v>
      </c>
      <c r="N425">
        <v>-13.24</v>
      </c>
      <c r="O425">
        <v>15.91</v>
      </c>
      <c r="P425">
        <v>-2.81</v>
      </c>
      <c r="Q425">
        <v>-7.92</v>
      </c>
      <c r="R425">
        <v>8.4700000000000006</v>
      </c>
      <c r="S425">
        <v>5.71</v>
      </c>
      <c r="T425">
        <v>3.14</v>
      </c>
      <c r="U425">
        <v>7.55</v>
      </c>
      <c r="V425">
        <v>3.48</v>
      </c>
      <c r="W425">
        <v>6.7</v>
      </c>
      <c r="X425">
        <v>4.71</v>
      </c>
      <c r="Y425">
        <v>2.81</v>
      </c>
      <c r="Z425">
        <v>4.22</v>
      </c>
      <c r="AA425">
        <v>2.11</v>
      </c>
      <c r="AB425">
        <v>0.81</v>
      </c>
      <c r="AC425">
        <v>1.18</v>
      </c>
      <c r="AD425">
        <v>1.8</v>
      </c>
      <c r="AE425">
        <v>2.0299999999999998</v>
      </c>
      <c r="AF425">
        <v>2.0249999999999999</v>
      </c>
      <c r="AG425" t="str">
        <f>HYPERLINK("https://finance.naver.com/item/fchart.naver?code=223250", "드림씨아이에스 차트보기")</f>
        <v>드림씨아이에스 차트보기</v>
      </c>
    </row>
    <row r="426" spans="1:33" x14ac:dyDescent="0.3">
      <c r="A426" t="s">
        <v>1731</v>
      </c>
      <c r="B426" t="s">
        <v>55</v>
      </c>
      <c r="C426" t="s">
        <v>1732</v>
      </c>
      <c r="D426">
        <v>8349.0499999999993</v>
      </c>
      <c r="E426" t="s">
        <v>1733</v>
      </c>
      <c r="F426">
        <v>5.92</v>
      </c>
      <c r="G426">
        <v>0.68000000715255737</v>
      </c>
      <c r="H426">
        <v>753</v>
      </c>
      <c r="I426">
        <v>1.120000004768372</v>
      </c>
      <c r="J426" t="s">
        <v>1734</v>
      </c>
      <c r="K426">
        <v>4560</v>
      </c>
      <c r="L426">
        <v>4460</v>
      </c>
      <c r="M426">
        <v>-2.19</v>
      </c>
      <c r="N426">
        <v>-0.67</v>
      </c>
      <c r="O426">
        <v>0.7</v>
      </c>
      <c r="P426">
        <v>-0.12</v>
      </c>
      <c r="Q426">
        <v>10.71</v>
      </c>
      <c r="R426">
        <v>-6.3</v>
      </c>
      <c r="S426">
        <v>-4.21</v>
      </c>
      <c r="T426">
        <v>2.65</v>
      </c>
      <c r="U426">
        <v>1.62</v>
      </c>
      <c r="V426">
        <v>2.94</v>
      </c>
      <c r="W426">
        <v>4.45</v>
      </c>
      <c r="X426">
        <v>1.1299999999999999</v>
      </c>
      <c r="Y426">
        <v>1.22</v>
      </c>
      <c r="Z426">
        <v>0.25</v>
      </c>
      <c r="AA426">
        <v>0.43</v>
      </c>
      <c r="AB426">
        <v>0.04</v>
      </c>
      <c r="AC426">
        <v>2.41</v>
      </c>
      <c r="AD426">
        <v>5.58</v>
      </c>
      <c r="AE426">
        <v>3.45</v>
      </c>
      <c r="AF426">
        <v>2.0266666666666668</v>
      </c>
      <c r="AG426" t="str">
        <f>HYPERLINK("https://finance.naver.com/item/fchart.naver?code=080470", "성창오토텍 차트보기")</f>
        <v>성창오토텍 차트보기</v>
      </c>
    </row>
    <row r="427" spans="1:33" x14ac:dyDescent="0.3">
      <c r="A427" t="s">
        <v>1735</v>
      </c>
      <c r="B427" t="s">
        <v>34</v>
      </c>
      <c r="C427" t="s">
        <v>1736</v>
      </c>
      <c r="D427">
        <v>64851.67</v>
      </c>
      <c r="E427" t="s">
        <v>1737</v>
      </c>
      <c r="F427">
        <v>29.7</v>
      </c>
      <c r="G427">
        <v>2.0799999237060551</v>
      </c>
      <c r="H427">
        <v>236</v>
      </c>
      <c r="I427">
        <v>20.360000610351559</v>
      </c>
      <c r="J427" t="s">
        <v>1738</v>
      </c>
      <c r="K427">
        <v>8240</v>
      </c>
      <c r="L427">
        <v>7010</v>
      </c>
      <c r="M427">
        <v>-14.93</v>
      </c>
      <c r="N427">
        <v>-3.04</v>
      </c>
      <c r="O427">
        <v>-4.37</v>
      </c>
      <c r="P427">
        <v>3.06</v>
      </c>
      <c r="Q427">
        <v>-18.37</v>
      </c>
      <c r="R427">
        <v>-4.53</v>
      </c>
      <c r="S427">
        <v>-10.75</v>
      </c>
      <c r="T427">
        <v>2.52</v>
      </c>
      <c r="U427">
        <v>1.79</v>
      </c>
      <c r="V427">
        <v>2.69</v>
      </c>
      <c r="W427">
        <v>4.5199999999999996</v>
      </c>
      <c r="X427">
        <v>3.33</v>
      </c>
      <c r="Y427">
        <v>5.47</v>
      </c>
      <c r="Z427">
        <v>1.21</v>
      </c>
      <c r="AA427">
        <v>2.44</v>
      </c>
      <c r="AB427">
        <v>1.1399999999999999</v>
      </c>
      <c r="AC427">
        <v>4.0599999999999996</v>
      </c>
      <c r="AD427">
        <v>1.36</v>
      </c>
      <c r="AE427">
        <v>1.97</v>
      </c>
      <c r="AF427">
        <v>2.0299999999999998</v>
      </c>
      <c r="AG427" t="str">
        <f>HYPERLINK("https://finance.naver.com/item/fchart.naver?code=078520", "에이블씨엔씨 차트보기")</f>
        <v>에이블씨엔씨 차트보기</v>
      </c>
    </row>
    <row r="428" spans="1:33" x14ac:dyDescent="0.3">
      <c r="A428" t="s">
        <v>1739</v>
      </c>
      <c r="B428" t="s">
        <v>34</v>
      </c>
      <c r="C428" t="s">
        <v>1740</v>
      </c>
      <c r="D428">
        <v>209.05</v>
      </c>
      <c r="E428" t="s">
        <v>1741</v>
      </c>
      <c r="F428">
        <v>13.86</v>
      </c>
      <c r="G428">
        <v>0.77999997138977051</v>
      </c>
      <c r="H428">
        <v>5708</v>
      </c>
      <c r="I428">
        <v>0.87999999523162842</v>
      </c>
      <c r="J428" t="s">
        <v>1742</v>
      </c>
      <c r="K428">
        <v>82400</v>
      </c>
      <c r="L428">
        <v>79100</v>
      </c>
      <c r="M428">
        <v>-4</v>
      </c>
      <c r="N428">
        <v>-0.75</v>
      </c>
      <c r="O428">
        <v>0.13</v>
      </c>
      <c r="P428">
        <v>-3.98</v>
      </c>
      <c r="Q428">
        <v>-1.2</v>
      </c>
      <c r="R428">
        <v>0.48</v>
      </c>
      <c r="S428">
        <v>-12.08</v>
      </c>
      <c r="T428">
        <v>0.41</v>
      </c>
      <c r="U428">
        <v>0.73</v>
      </c>
      <c r="V428">
        <v>1.67</v>
      </c>
      <c r="W428">
        <v>1.32</v>
      </c>
      <c r="X428">
        <v>0.97</v>
      </c>
      <c r="Y428">
        <v>1.89</v>
      </c>
      <c r="Z428">
        <v>1.83</v>
      </c>
      <c r="AA428">
        <v>0.18</v>
      </c>
      <c r="AB428">
        <v>2.38</v>
      </c>
      <c r="AC428">
        <v>0.91</v>
      </c>
      <c r="AD428">
        <v>0.49</v>
      </c>
      <c r="AE428">
        <v>6.39</v>
      </c>
      <c r="AF428">
        <v>2.0299999999999998</v>
      </c>
      <c r="AG428" t="str">
        <f>HYPERLINK("https://finance.naver.com/item/fchart.naver?code=107590", "미원홀딩스 차트보기")</f>
        <v>미원홀딩스 차트보기</v>
      </c>
    </row>
    <row r="429" spans="1:33" x14ac:dyDescent="0.3">
      <c r="A429" t="s">
        <v>1743</v>
      </c>
      <c r="B429" t="s">
        <v>55</v>
      </c>
      <c r="C429" t="s">
        <v>1744</v>
      </c>
      <c r="D429">
        <v>19849.14</v>
      </c>
      <c r="E429" t="s">
        <v>1745</v>
      </c>
      <c r="F429">
        <v>6.94</v>
      </c>
      <c r="G429">
        <v>1.169999957084656</v>
      </c>
      <c r="H429">
        <v>2206</v>
      </c>
      <c r="I429">
        <v>3.2599999904632568</v>
      </c>
      <c r="J429" t="s">
        <v>1746</v>
      </c>
      <c r="K429">
        <v>17380</v>
      </c>
      <c r="L429">
        <v>15320</v>
      </c>
      <c r="M429">
        <v>-11.85</v>
      </c>
      <c r="N429">
        <v>1.73</v>
      </c>
      <c r="O429">
        <v>3.86</v>
      </c>
      <c r="P429">
        <v>-2.4500000000000002</v>
      </c>
      <c r="Q429">
        <v>0.53</v>
      </c>
      <c r="R429">
        <v>-0.72</v>
      </c>
      <c r="S429">
        <v>-8.94</v>
      </c>
      <c r="T429">
        <v>1.39</v>
      </c>
      <c r="U429">
        <v>2.02</v>
      </c>
      <c r="V429">
        <v>2.34</v>
      </c>
      <c r="W429">
        <v>2.52</v>
      </c>
      <c r="X429">
        <v>1.91</v>
      </c>
      <c r="Y429">
        <v>1.21</v>
      </c>
      <c r="Z429">
        <v>1.24</v>
      </c>
      <c r="AA429">
        <v>1.91</v>
      </c>
      <c r="AB429">
        <v>1.05</v>
      </c>
      <c r="AC429">
        <v>0.21</v>
      </c>
      <c r="AD429">
        <v>0.38</v>
      </c>
      <c r="AE429">
        <v>7.39</v>
      </c>
      <c r="AF429">
        <v>2.0299999999999998</v>
      </c>
      <c r="AG429" t="str">
        <f>HYPERLINK("https://finance.naver.com/item/fchart.naver?code=052400", "코나아이 차트보기")</f>
        <v>코나아이 차트보기</v>
      </c>
    </row>
    <row r="430" spans="1:33" x14ac:dyDescent="0.3">
      <c r="A430" t="s">
        <v>1747</v>
      </c>
      <c r="B430" t="s">
        <v>55</v>
      </c>
      <c r="C430" t="s">
        <v>1748</v>
      </c>
      <c r="D430">
        <v>152132.24</v>
      </c>
      <c r="E430" t="s">
        <v>1749</v>
      </c>
      <c r="F430">
        <v>14.19</v>
      </c>
      <c r="G430">
        <v>0.18999999761581421</v>
      </c>
      <c r="H430">
        <v>384</v>
      </c>
      <c r="I430">
        <v>2.2000000476837158</v>
      </c>
      <c r="J430" t="s">
        <v>1750</v>
      </c>
      <c r="K430">
        <v>6450</v>
      </c>
      <c r="L430">
        <v>5450</v>
      </c>
      <c r="M430">
        <v>-15.5</v>
      </c>
      <c r="N430">
        <v>0.93</v>
      </c>
      <c r="O430">
        <v>-2.36</v>
      </c>
      <c r="P430">
        <v>1.82</v>
      </c>
      <c r="Q430">
        <v>-6.26</v>
      </c>
      <c r="R430">
        <v>-2.64</v>
      </c>
      <c r="S430">
        <v>-5.27</v>
      </c>
      <c r="T430">
        <v>2.4300000000000002</v>
      </c>
      <c r="U430">
        <v>1.42</v>
      </c>
      <c r="V430">
        <v>2.02</v>
      </c>
      <c r="W430">
        <v>2.84</v>
      </c>
      <c r="X430">
        <v>1.3</v>
      </c>
      <c r="Y430">
        <v>1.05</v>
      </c>
      <c r="Z430">
        <v>0.38</v>
      </c>
      <c r="AA430">
        <v>1.66</v>
      </c>
      <c r="AB430">
        <v>0.9</v>
      </c>
      <c r="AC430">
        <v>2.2000000000000002</v>
      </c>
      <c r="AD430">
        <v>2.0299999999999998</v>
      </c>
      <c r="AE430">
        <v>5.0199999999999996</v>
      </c>
      <c r="AF430">
        <v>2.0316666666666672</v>
      </c>
      <c r="AG430" t="str">
        <f>HYPERLINK("https://finance.naver.com/item/fchart.naver?code=003380", "하림지주 차트보기")</f>
        <v>하림지주 차트보기</v>
      </c>
    </row>
    <row r="431" spans="1:33" x14ac:dyDescent="0.3">
      <c r="A431" t="s">
        <v>1751</v>
      </c>
      <c r="B431" t="s">
        <v>55</v>
      </c>
      <c r="C431" t="s">
        <v>1752</v>
      </c>
      <c r="D431">
        <v>65250</v>
      </c>
      <c r="E431" t="s">
        <v>1753</v>
      </c>
      <c r="F431">
        <v>20.81</v>
      </c>
      <c r="G431">
        <v>0.56999999284744263</v>
      </c>
      <c r="H431">
        <v>148</v>
      </c>
      <c r="I431">
        <v>0</v>
      </c>
      <c r="J431" t="s">
        <v>1754</v>
      </c>
      <c r="K431">
        <v>3080</v>
      </c>
      <c r="L431">
        <v>3080</v>
      </c>
      <c r="M431">
        <v>0</v>
      </c>
      <c r="N431">
        <v>-0.81</v>
      </c>
      <c r="O431">
        <v>-2.93</v>
      </c>
      <c r="P431">
        <v>-1.28</v>
      </c>
      <c r="Q431">
        <v>1.31</v>
      </c>
      <c r="R431">
        <v>9.35</v>
      </c>
      <c r="S431">
        <v>-8.2799999999999994</v>
      </c>
      <c r="T431">
        <v>1.04</v>
      </c>
      <c r="U431">
        <v>2.25</v>
      </c>
      <c r="V431">
        <v>1.64</v>
      </c>
      <c r="W431">
        <v>7.51</v>
      </c>
      <c r="X431">
        <v>1.97</v>
      </c>
      <c r="Y431">
        <v>1.87</v>
      </c>
      <c r="Z431">
        <v>0.78</v>
      </c>
      <c r="AA431">
        <v>1.3</v>
      </c>
      <c r="AB431">
        <v>0.78</v>
      </c>
      <c r="AC431">
        <v>0.17</v>
      </c>
      <c r="AD431">
        <v>4.75</v>
      </c>
      <c r="AE431">
        <v>4.43</v>
      </c>
      <c r="AF431">
        <v>2.0350000000000001</v>
      </c>
      <c r="AG431" t="str">
        <f>HYPERLINK("https://finance.naver.com/item/fchart.naver?code=130500", "GH신소재 차트보기")</f>
        <v>GH신소재 차트보기</v>
      </c>
    </row>
    <row r="432" spans="1:33" x14ac:dyDescent="0.3">
      <c r="A432" t="s">
        <v>1755</v>
      </c>
      <c r="B432" t="s">
        <v>55</v>
      </c>
      <c r="C432" t="s">
        <v>1756</v>
      </c>
      <c r="D432">
        <v>24460.57</v>
      </c>
      <c r="E432" t="s">
        <v>1757</v>
      </c>
      <c r="F432">
        <v>0</v>
      </c>
      <c r="G432">
        <v>0.37000000476837158</v>
      </c>
      <c r="H432">
        <v>0</v>
      </c>
      <c r="I432">
        <v>0</v>
      </c>
      <c r="J432" t="s">
        <v>1758</v>
      </c>
      <c r="K432">
        <v>2440</v>
      </c>
      <c r="L432">
        <v>2000</v>
      </c>
      <c r="M432">
        <v>-18.03</v>
      </c>
      <c r="N432">
        <v>-0.99</v>
      </c>
      <c r="O432">
        <v>-3.82</v>
      </c>
      <c r="P432">
        <v>-2.09</v>
      </c>
      <c r="Q432">
        <v>1.7</v>
      </c>
      <c r="R432">
        <v>-4.01</v>
      </c>
      <c r="S432">
        <v>-13.26</v>
      </c>
      <c r="T432">
        <v>1.79</v>
      </c>
      <c r="U432">
        <v>1.87</v>
      </c>
      <c r="V432">
        <v>1.54</v>
      </c>
      <c r="W432">
        <v>3.57</v>
      </c>
      <c r="X432">
        <v>1.69</v>
      </c>
      <c r="Y432">
        <v>2.4500000000000002</v>
      </c>
      <c r="Z432">
        <v>0.55000000000000004</v>
      </c>
      <c r="AA432">
        <v>2.04</v>
      </c>
      <c r="AB432">
        <v>1.36</v>
      </c>
      <c r="AC432">
        <v>0.48</v>
      </c>
      <c r="AD432">
        <v>2.37</v>
      </c>
      <c r="AE432">
        <v>5.41</v>
      </c>
      <c r="AF432">
        <v>2.0350000000000001</v>
      </c>
      <c r="AG432" t="str">
        <f>HYPERLINK("https://finance.naver.com/item/fchart.naver?code=130740", "티피씨글로벌 차트보기")</f>
        <v>티피씨글로벌 차트보기</v>
      </c>
    </row>
    <row r="433" spans="1:33" x14ac:dyDescent="0.3">
      <c r="A433" t="s">
        <v>1759</v>
      </c>
      <c r="B433" t="s">
        <v>55</v>
      </c>
      <c r="C433" t="s">
        <v>1760</v>
      </c>
      <c r="D433">
        <v>156656.04999999999</v>
      </c>
      <c r="E433" t="s">
        <v>1761</v>
      </c>
      <c r="F433">
        <v>13.77</v>
      </c>
      <c r="G433">
        <v>0.87999999523162842</v>
      </c>
      <c r="H433">
        <v>166</v>
      </c>
      <c r="I433">
        <v>1.0900000333786011</v>
      </c>
      <c r="J433" t="s">
        <v>1762</v>
      </c>
      <c r="K433">
        <v>2585</v>
      </c>
      <c r="L433">
        <v>2285</v>
      </c>
      <c r="M433">
        <v>-11.61</v>
      </c>
      <c r="N433">
        <v>1.56</v>
      </c>
      <c r="O433">
        <v>1.56</v>
      </c>
      <c r="P433">
        <v>-9.2899999999999991</v>
      </c>
      <c r="Q433">
        <v>5.09</v>
      </c>
      <c r="R433">
        <v>1.46</v>
      </c>
      <c r="S433">
        <v>-4.21</v>
      </c>
      <c r="T433">
        <v>1.32</v>
      </c>
      <c r="U433">
        <v>0.93</v>
      </c>
      <c r="V433">
        <v>4.3</v>
      </c>
      <c r="W433">
        <v>4.2</v>
      </c>
      <c r="X433">
        <v>1.01</v>
      </c>
      <c r="Y433">
        <v>0.93</v>
      </c>
      <c r="Z433">
        <v>1.18</v>
      </c>
      <c r="AA433">
        <v>1.68</v>
      </c>
      <c r="AB433">
        <v>2.16</v>
      </c>
      <c r="AC433">
        <v>1.21</v>
      </c>
      <c r="AD433">
        <v>1.45</v>
      </c>
      <c r="AE433">
        <v>4.53</v>
      </c>
      <c r="AF433">
        <v>2.0350000000000001</v>
      </c>
      <c r="AG433" t="str">
        <f>HYPERLINK("https://finance.naver.com/item/fchart.naver?code=049480", "오픈베이스 차트보기")</f>
        <v>오픈베이스 차트보기</v>
      </c>
    </row>
    <row r="434" spans="1:33" x14ac:dyDescent="0.3">
      <c r="A434" t="s">
        <v>1763</v>
      </c>
      <c r="B434" t="s">
        <v>34</v>
      </c>
      <c r="C434" t="s">
        <v>1764</v>
      </c>
      <c r="D434">
        <v>99928.71</v>
      </c>
      <c r="E434" t="s">
        <v>1765</v>
      </c>
      <c r="F434">
        <v>0</v>
      </c>
      <c r="G434">
        <v>0.239999994635582</v>
      </c>
      <c r="H434">
        <v>0</v>
      </c>
      <c r="I434">
        <v>6.559999942779541</v>
      </c>
      <c r="J434" t="s">
        <v>1766</v>
      </c>
      <c r="K434">
        <v>26900</v>
      </c>
      <c r="L434">
        <v>22850</v>
      </c>
      <c r="M434">
        <v>-15.06</v>
      </c>
      <c r="N434">
        <v>-3.59</v>
      </c>
      <c r="O434">
        <v>-2.2400000000000002</v>
      </c>
      <c r="P434">
        <v>0.61</v>
      </c>
      <c r="Q434">
        <v>-1.2</v>
      </c>
      <c r="R434">
        <v>-1.4</v>
      </c>
      <c r="S434">
        <v>-2.14</v>
      </c>
      <c r="T434">
        <v>1.19</v>
      </c>
      <c r="U434">
        <v>0.51</v>
      </c>
      <c r="V434">
        <v>1.63</v>
      </c>
      <c r="W434">
        <v>1.72</v>
      </c>
      <c r="X434">
        <v>0.8</v>
      </c>
      <c r="Y434">
        <v>1.08</v>
      </c>
      <c r="Z434">
        <v>3.02</v>
      </c>
      <c r="AA434">
        <v>4.3899999999999997</v>
      </c>
      <c r="AB434">
        <v>0.37</v>
      </c>
      <c r="AC434">
        <v>0.7</v>
      </c>
      <c r="AD434">
        <v>1.75</v>
      </c>
      <c r="AE434">
        <v>1.98</v>
      </c>
      <c r="AF434">
        <v>2.0350000000000001</v>
      </c>
      <c r="AG434" t="str">
        <f>HYPERLINK("https://finance.naver.com/item/fchart.naver?code=004990", "롯데지주 차트보기")</f>
        <v>롯데지주 차트보기</v>
      </c>
    </row>
    <row r="435" spans="1:33" x14ac:dyDescent="0.3">
      <c r="A435" t="s">
        <v>1767</v>
      </c>
      <c r="B435" t="s">
        <v>34</v>
      </c>
      <c r="C435" t="s">
        <v>1768</v>
      </c>
      <c r="D435">
        <v>11299.76</v>
      </c>
      <c r="E435" t="s">
        <v>1769</v>
      </c>
      <c r="F435">
        <v>5.52</v>
      </c>
      <c r="G435">
        <v>0.67000001668930054</v>
      </c>
      <c r="H435">
        <v>4187</v>
      </c>
      <c r="I435">
        <v>4.7600002288818359</v>
      </c>
      <c r="J435" t="s">
        <v>1770</v>
      </c>
      <c r="K435">
        <v>21500</v>
      </c>
      <c r="L435">
        <v>23100</v>
      </c>
      <c r="M435">
        <v>7.44</v>
      </c>
      <c r="N435">
        <v>-3.75</v>
      </c>
      <c r="O435">
        <v>6.09</v>
      </c>
      <c r="P435">
        <v>-2.35</v>
      </c>
      <c r="Q435">
        <v>4.2699999999999996</v>
      </c>
      <c r="R435">
        <v>2.08</v>
      </c>
      <c r="S435">
        <v>2.0699999999999998</v>
      </c>
      <c r="T435">
        <v>1.53</v>
      </c>
      <c r="U435">
        <v>1.9</v>
      </c>
      <c r="V435">
        <v>2.34</v>
      </c>
      <c r="W435">
        <v>2.42</v>
      </c>
      <c r="X435">
        <v>1.42</v>
      </c>
      <c r="Y435">
        <v>0.88</v>
      </c>
      <c r="Z435">
        <v>2.4500000000000002</v>
      </c>
      <c r="AA435">
        <v>3.21</v>
      </c>
      <c r="AB435">
        <v>1</v>
      </c>
      <c r="AC435">
        <v>1.76</v>
      </c>
      <c r="AD435">
        <v>1.46</v>
      </c>
      <c r="AE435">
        <v>2.35</v>
      </c>
      <c r="AF435">
        <v>2.0383333333333331</v>
      </c>
      <c r="AG435" t="str">
        <f>HYPERLINK("https://finance.naver.com/item/fchart.naver?code=192400", "쿠쿠홀딩스 차트보기")</f>
        <v>쿠쿠홀딩스 차트보기</v>
      </c>
    </row>
    <row r="436" spans="1:33" x14ac:dyDescent="0.3">
      <c r="A436" t="s">
        <v>1771</v>
      </c>
      <c r="B436" t="s">
        <v>34</v>
      </c>
      <c r="C436" t="s">
        <v>1772</v>
      </c>
      <c r="D436">
        <v>141842.19</v>
      </c>
      <c r="E436" t="s">
        <v>1773</v>
      </c>
      <c r="F436">
        <v>0</v>
      </c>
      <c r="G436">
        <v>0.37000000476837158</v>
      </c>
      <c r="H436">
        <v>0</v>
      </c>
      <c r="I436">
        <v>0</v>
      </c>
      <c r="J436" t="s">
        <v>1774</v>
      </c>
      <c r="K436">
        <v>10870</v>
      </c>
      <c r="L436">
        <v>8490</v>
      </c>
      <c r="M436">
        <v>-21.9</v>
      </c>
      <c r="N436">
        <v>-4.28</v>
      </c>
      <c r="O436">
        <v>-0.55000000000000004</v>
      </c>
      <c r="P436">
        <v>-10</v>
      </c>
      <c r="Q436">
        <v>11.33</v>
      </c>
      <c r="R436">
        <v>-6.34</v>
      </c>
      <c r="S436">
        <v>-2.57</v>
      </c>
      <c r="T436">
        <v>1.74</v>
      </c>
      <c r="U436">
        <v>1.23</v>
      </c>
      <c r="V436">
        <v>2.31</v>
      </c>
      <c r="W436">
        <v>6.87</v>
      </c>
      <c r="X436">
        <v>2.65</v>
      </c>
      <c r="Y436">
        <v>2.71</v>
      </c>
      <c r="Z436">
        <v>2.46</v>
      </c>
      <c r="AA436">
        <v>0.45</v>
      </c>
      <c r="AB436">
        <v>4.33</v>
      </c>
      <c r="AC436">
        <v>1.65</v>
      </c>
      <c r="AD436">
        <v>2.39</v>
      </c>
      <c r="AE436">
        <v>0.95</v>
      </c>
      <c r="AF436">
        <v>2.038333333333334</v>
      </c>
      <c r="AG436" t="str">
        <f>HYPERLINK("https://finance.naver.com/item/fchart.naver?code=137310", "에스디바이오센서 차트보기")</f>
        <v>에스디바이오센서 차트보기</v>
      </c>
    </row>
    <row r="437" spans="1:33" x14ac:dyDescent="0.3">
      <c r="A437" t="s">
        <v>1775</v>
      </c>
      <c r="B437" t="s">
        <v>55</v>
      </c>
      <c r="C437" t="s">
        <v>1776</v>
      </c>
      <c r="D437">
        <v>820966.38</v>
      </c>
      <c r="E437" t="s">
        <v>1777</v>
      </c>
      <c r="F437">
        <v>0</v>
      </c>
      <c r="G437">
        <v>2.5999999046325679</v>
      </c>
      <c r="H437">
        <v>0</v>
      </c>
      <c r="I437">
        <v>0</v>
      </c>
      <c r="J437" t="s">
        <v>1778</v>
      </c>
      <c r="K437">
        <v>2330</v>
      </c>
      <c r="L437">
        <v>1919</v>
      </c>
      <c r="M437">
        <v>-17.64</v>
      </c>
      <c r="N437">
        <v>-4.05</v>
      </c>
      <c r="O437">
        <v>19.73</v>
      </c>
      <c r="P437">
        <v>-18.47</v>
      </c>
      <c r="Q437">
        <v>-37.159999999999997</v>
      </c>
      <c r="R437">
        <v>11.01</v>
      </c>
      <c r="S437">
        <v>-0.72</v>
      </c>
      <c r="T437">
        <v>3.43</v>
      </c>
      <c r="U437">
        <v>9.16</v>
      </c>
      <c r="V437">
        <v>11.21</v>
      </c>
      <c r="W437">
        <v>10.11</v>
      </c>
      <c r="X437">
        <v>3.4</v>
      </c>
      <c r="Y437">
        <v>2.13</v>
      </c>
      <c r="Z437">
        <v>1.18</v>
      </c>
      <c r="AA437">
        <v>2.15</v>
      </c>
      <c r="AB437">
        <v>1.65</v>
      </c>
      <c r="AC437">
        <v>3.68</v>
      </c>
      <c r="AD437">
        <v>3.24</v>
      </c>
      <c r="AE437">
        <v>0.34</v>
      </c>
      <c r="AF437">
        <v>2.04</v>
      </c>
      <c r="AG437" t="str">
        <f>HYPERLINK("https://finance.naver.com/item/fchart.naver?code=291650", "압타머사이언스 차트보기")</f>
        <v>압타머사이언스 차트보기</v>
      </c>
    </row>
    <row r="438" spans="1:33" x14ac:dyDescent="0.3">
      <c r="A438" t="s">
        <v>1779</v>
      </c>
      <c r="B438" t="s">
        <v>55</v>
      </c>
      <c r="C438" t="s">
        <v>1780</v>
      </c>
      <c r="D438">
        <v>511376.95</v>
      </c>
      <c r="E438" t="s">
        <v>1781</v>
      </c>
      <c r="F438">
        <v>20.25</v>
      </c>
      <c r="G438">
        <v>1.379999995231628</v>
      </c>
      <c r="H438">
        <v>162</v>
      </c>
      <c r="I438">
        <v>0</v>
      </c>
      <c r="J438" t="s">
        <v>1782</v>
      </c>
      <c r="K438">
        <v>3075</v>
      </c>
      <c r="L438">
        <v>3280</v>
      </c>
      <c r="M438">
        <v>6.67</v>
      </c>
      <c r="N438">
        <v>-8.76</v>
      </c>
      <c r="O438">
        <v>2.34</v>
      </c>
      <c r="P438">
        <v>3.51</v>
      </c>
      <c r="Q438">
        <v>-19.190000000000001</v>
      </c>
      <c r="R438">
        <v>-9.17</v>
      </c>
      <c r="S438">
        <v>-14.54</v>
      </c>
      <c r="T438">
        <v>3.39</v>
      </c>
      <c r="U438">
        <v>4.1900000000000004</v>
      </c>
      <c r="V438">
        <v>4.07</v>
      </c>
      <c r="W438">
        <v>4.01</v>
      </c>
      <c r="X438">
        <v>6.28</v>
      </c>
      <c r="Y438">
        <v>7.29</v>
      </c>
      <c r="Z438">
        <v>2.58</v>
      </c>
      <c r="AA438">
        <v>0.56000000000000005</v>
      </c>
      <c r="AB438">
        <v>0.86</v>
      </c>
      <c r="AC438">
        <v>4.79</v>
      </c>
      <c r="AD438">
        <v>1.46</v>
      </c>
      <c r="AE438">
        <v>1.99</v>
      </c>
      <c r="AF438">
        <v>2.04</v>
      </c>
      <c r="AG438" t="str">
        <f>HYPERLINK("https://finance.naver.com/item/fchart.naver?code=029480", "광무 차트보기")</f>
        <v>광무 차트보기</v>
      </c>
    </row>
    <row r="439" spans="1:33" x14ac:dyDescent="0.3">
      <c r="A439" t="s">
        <v>1783</v>
      </c>
      <c r="B439" t="s">
        <v>55</v>
      </c>
      <c r="C439" t="s">
        <v>1784</v>
      </c>
      <c r="D439">
        <v>5997.14</v>
      </c>
      <c r="E439" t="s">
        <v>1785</v>
      </c>
      <c r="F439">
        <v>4.37</v>
      </c>
      <c r="G439">
        <v>0.61000001430511475</v>
      </c>
      <c r="H439">
        <v>2576</v>
      </c>
      <c r="I439">
        <v>4.440000057220459</v>
      </c>
      <c r="J439" t="s">
        <v>1786</v>
      </c>
      <c r="K439">
        <v>9300</v>
      </c>
      <c r="L439">
        <v>11260</v>
      </c>
      <c r="M439">
        <v>21.08</v>
      </c>
      <c r="N439">
        <v>2.36</v>
      </c>
      <c r="O439">
        <v>0.55000000000000004</v>
      </c>
      <c r="P439">
        <v>3.03</v>
      </c>
      <c r="Q439">
        <v>7.8</v>
      </c>
      <c r="R439">
        <v>0.71</v>
      </c>
      <c r="S439">
        <v>-4.3</v>
      </c>
      <c r="T439">
        <v>0.73</v>
      </c>
      <c r="U439">
        <v>1</v>
      </c>
      <c r="V439">
        <v>1.51</v>
      </c>
      <c r="W439">
        <v>3.17</v>
      </c>
      <c r="X439">
        <v>1.33</v>
      </c>
      <c r="Y439">
        <v>1.23</v>
      </c>
      <c r="Z439">
        <v>3.23</v>
      </c>
      <c r="AA439">
        <v>0.55000000000000004</v>
      </c>
      <c r="AB439">
        <v>2.0099999999999998</v>
      </c>
      <c r="AC439">
        <v>2.46</v>
      </c>
      <c r="AD439">
        <v>0.53</v>
      </c>
      <c r="AE439">
        <v>3.5</v>
      </c>
      <c r="AF439">
        <v>2.046666666666666</v>
      </c>
      <c r="AG439" t="str">
        <f>HYPERLINK("https://finance.naver.com/item/fchart.naver?code=069510", "에스텍 차트보기")</f>
        <v>에스텍 차트보기</v>
      </c>
    </row>
    <row r="440" spans="1:33" x14ac:dyDescent="0.3">
      <c r="A440" t="s">
        <v>1787</v>
      </c>
      <c r="B440" t="s">
        <v>34</v>
      </c>
      <c r="C440" t="s">
        <v>1788</v>
      </c>
      <c r="D440">
        <v>45292.14</v>
      </c>
      <c r="E440" t="s">
        <v>1789</v>
      </c>
      <c r="F440">
        <v>2.36</v>
      </c>
      <c r="G440">
        <v>0.239999994635582</v>
      </c>
      <c r="H440">
        <v>961</v>
      </c>
      <c r="I440">
        <v>2.2100000381469731</v>
      </c>
      <c r="J440" t="s">
        <v>1790</v>
      </c>
      <c r="K440">
        <v>2950</v>
      </c>
      <c r="L440">
        <v>2265</v>
      </c>
      <c r="M440">
        <v>-23.22</v>
      </c>
      <c r="N440">
        <v>-1.74</v>
      </c>
      <c r="O440">
        <v>-3.5</v>
      </c>
      <c r="P440">
        <v>-3.01</v>
      </c>
      <c r="Q440">
        <v>-9.2200000000000006</v>
      </c>
      <c r="R440">
        <v>-2.66</v>
      </c>
      <c r="S440">
        <v>-3.42</v>
      </c>
      <c r="T440">
        <v>3.27</v>
      </c>
      <c r="U440">
        <v>1.58</v>
      </c>
      <c r="V440">
        <v>2.16</v>
      </c>
      <c r="W440">
        <v>3.01</v>
      </c>
      <c r="X440">
        <v>1.07</v>
      </c>
      <c r="Y440">
        <v>1.32</v>
      </c>
      <c r="Z440">
        <v>0.53</v>
      </c>
      <c r="AA440">
        <v>2.2200000000000002</v>
      </c>
      <c r="AB440">
        <v>1.39</v>
      </c>
      <c r="AC440">
        <v>3.06</v>
      </c>
      <c r="AD440">
        <v>2.4900000000000002</v>
      </c>
      <c r="AE440">
        <v>2.59</v>
      </c>
      <c r="AF440">
        <v>2.046666666666666</v>
      </c>
      <c r="AG440" t="str">
        <f>HYPERLINK("https://finance.naver.com/item/fchart.naver?code=008420", "문배철강 차트보기")</f>
        <v>문배철강 차트보기</v>
      </c>
    </row>
    <row r="441" spans="1:33" x14ac:dyDescent="0.3">
      <c r="A441" t="s">
        <v>1791</v>
      </c>
      <c r="B441" t="s">
        <v>34</v>
      </c>
      <c r="C441" t="s">
        <v>1792</v>
      </c>
      <c r="D441">
        <v>34310.620000000003</v>
      </c>
      <c r="E441" t="s">
        <v>1793</v>
      </c>
      <c r="F441">
        <v>3.01</v>
      </c>
      <c r="G441">
        <v>0.37999999523162842</v>
      </c>
      <c r="H441">
        <v>2683</v>
      </c>
      <c r="I441">
        <v>4.3400001525878906</v>
      </c>
      <c r="J441" t="s">
        <v>1794</v>
      </c>
      <c r="K441">
        <v>8900</v>
      </c>
      <c r="L441">
        <v>8070</v>
      </c>
      <c r="M441">
        <v>-9.33</v>
      </c>
      <c r="N441">
        <v>0.88</v>
      </c>
      <c r="O441">
        <v>0.75</v>
      </c>
      <c r="P441">
        <v>-3.96</v>
      </c>
      <c r="Q441">
        <v>-9.01</v>
      </c>
      <c r="R441">
        <v>7.3</v>
      </c>
      <c r="S441">
        <v>0.24</v>
      </c>
      <c r="T441">
        <v>0.68</v>
      </c>
      <c r="U441">
        <v>0.67</v>
      </c>
      <c r="V441">
        <v>1.1100000000000001</v>
      </c>
      <c r="W441">
        <v>2.79</v>
      </c>
      <c r="X441">
        <v>2.5099999999999998</v>
      </c>
      <c r="Y441">
        <v>1.47</v>
      </c>
      <c r="Z441">
        <v>1.29</v>
      </c>
      <c r="AA441">
        <v>1.1200000000000001</v>
      </c>
      <c r="AB441">
        <v>3.57</v>
      </c>
      <c r="AC441">
        <v>3.23</v>
      </c>
      <c r="AD441">
        <v>2.91</v>
      </c>
      <c r="AE441">
        <v>0.16</v>
      </c>
      <c r="AF441">
        <v>2.0466666666666669</v>
      </c>
      <c r="AG441" t="str">
        <f>HYPERLINK("https://finance.naver.com/item/fchart.naver?code=004980", "성신양회 차트보기")</f>
        <v>성신양회 차트보기</v>
      </c>
    </row>
    <row r="442" spans="1:33" x14ac:dyDescent="0.3">
      <c r="A442" t="s">
        <v>1795</v>
      </c>
      <c r="B442" t="s">
        <v>55</v>
      </c>
      <c r="C442" t="s">
        <v>1796</v>
      </c>
      <c r="D442">
        <v>826392.33</v>
      </c>
      <c r="E442" t="s">
        <v>1797</v>
      </c>
      <c r="F442">
        <v>28.28</v>
      </c>
      <c r="G442">
        <v>2.5</v>
      </c>
      <c r="H442">
        <v>436</v>
      </c>
      <c r="I442">
        <v>0</v>
      </c>
      <c r="J442" t="s">
        <v>1798</v>
      </c>
      <c r="K442">
        <v>10620</v>
      </c>
      <c r="L442">
        <v>12330</v>
      </c>
      <c r="M442">
        <v>16.100000000000001</v>
      </c>
      <c r="N442">
        <v>10.58</v>
      </c>
      <c r="O442">
        <v>11.9</v>
      </c>
      <c r="P442">
        <v>1.79</v>
      </c>
      <c r="Q442">
        <v>-11.39</v>
      </c>
      <c r="R442">
        <v>-16.02</v>
      </c>
      <c r="S442">
        <v>0.34</v>
      </c>
      <c r="T442">
        <v>8.1199999999999992</v>
      </c>
      <c r="U442">
        <v>4.5599999999999996</v>
      </c>
      <c r="V442">
        <v>2.7</v>
      </c>
      <c r="W442">
        <v>5.8</v>
      </c>
      <c r="X442">
        <v>2.81</v>
      </c>
      <c r="Y442">
        <v>5.26</v>
      </c>
      <c r="Z442">
        <v>1.3</v>
      </c>
      <c r="AA442">
        <v>2.61</v>
      </c>
      <c r="AB442">
        <v>0.66</v>
      </c>
      <c r="AC442">
        <v>1.96</v>
      </c>
      <c r="AD442">
        <v>5.7</v>
      </c>
      <c r="AE442">
        <v>0.06</v>
      </c>
      <c r="AF442">
        <v>2.0483333333333329</v>
      </c>
      <c r="AG442" t="str">
        <f>HYPERLINK("https://finance.naver.com/item/fchart.naver?code=443250", "레뷰코퍼레이션 차트보기")</f>
        <v>레뷰코퍼레이션 차트보기</v>
      </c>
    </row>
    <row r="443" spans="1:33" x14ac:dyDescent="0.3">
      <c r="A443" t="s">
        <v>1799</v>
      </c>
      <c r="B443" t="s">
        <v>34</v>
      </c>
      <c r="C443" t="s">
        <v>1800</v>
      </c>
      <c r="D443">
        <v>444881.95</v>
      </c>
      <c r="E443" t="s">
        <v>1801</v>
      </c>
      <c r="F443">
        <v>34.78</v>
      </c>
      <c r="G443">
        <v>1.0199999809265139</v>
      </c>
      <c r="H443">
        <v>492</v>
      </c>
      <c r="I443">
        <v>1.75</v>
      </c>
      <c r="J443" t="s">
        <v>1802</v>
      </c>
      <c r="K443">
        <v>24500</v>
      </c>
      <c r="L443">
        <v>17110</v>
      </c>
      <c r="M443">
        <v>-30.16</v>
      </c>
      <c r="N443">
        <v>3.07</v>
      </c>
      <c r="O443">
        <v>-6.81</v>
      </c>
      <c r="P443">
        <v>-5.43</v>
      </c>
      <c r="Q443">
        <v>-10.31</v>
      </c>
      <c r="R443">
        <v>0.23</v>
      </c>
      <c r="S443">
        <v>-7.08</v>
      </c>
      <c r="T443">
        <v>4.67</v>
      </c>
      <c r="U443">
        <v>2.68</v>
      </c>
      <c r="V443">
        <v>2.75</v>
      </c>
      <c r="W443">
        <v>3.74</v>
      </c>
      <c r="X443">
        <v>3.49</v>
      </c>
      <c r="Y443">
        <v>1.65</v>
      </c>
      <c r="Z443">
        <v>0.66</v>
      </c>
      <c r="AA443">
        <v>2.54</v>
      </c>
      <c r="AB443">
        <v>1.97</v>
      </c>
      <c r="AC443">
        <v>2.76</v>
      </c>
      <c r="AD443">
        <v>7.0000000000000007E-2</v>
      </c>
      <c r="AE443">
        <v>4.29</v>
      </c>
      <c r="AF443">
        <v>2.0483333333333329</v>
      </c>
      <c r="AG443" t="str">
        <f>HYPERLINK("https://finance.naver.com/item/fchart.naver?code=353200", "대덕전자 차트보기")</f>
        <v>대덕전자 차트보기</v>
      </c>
    </row>
    <row r="444" spans="1:33" x14ac:dyDescent="0.3">
      <c r="A444" t="s">
        <v>1803</v>
      </c>
      <c r="B444" t="s">
        <v>34</v>
      </c>
      <c r="C444" t="s">
        <v>1804</v>
      </c>
      <c r="D444">
        <v>1320849.8999999999</v>
      </c>
      <c r="E444" t="s">
        <v>1805</v>
      </c>
      <c r="F444">
        <v>6.02</v>
      </c>
      <c r="G444">
        <v>0.67000001668930054</v>
      </c>
      <c r="H444">
        <v>1366</v>
      </c>
      <c r="I444">
        <v>0</v>
      </c>
      <c r="J444" t="s">
        <v>1806</v>
      </c>
      <c r="K444">
        <v>7060</v>
      </c>
      <c r="L444">
        <v>8230</v>
      </c>
      <c r="M444">
        <v>16.57</v>
      </c>
      <c r="N444">
        <v>3.13</v>
      </c>
      <c r="O444">
        <v>2.44</v>
      </c>
      <c r="P444">
        <v>8.6300000000000008</v>
      </c>
      <c r="Q444">
        <v>10.33</v>
      </c>
      <c r="R444">
        <v>2.61</v>
      </c>
      <c r="S444">
        <v>-9.8800000000000008</v>
      </c>
      <c r="T444">
        <v>3.55</v>
      </c>
      <c r="U444">
        <v>3.69</v>
      </c>
      <c r="V444">
        <v>2.88</v>
      </c>
      <c r="W444">
        <v>6.74</v>
      </c>
      <c r="X444">
        <v>2.92</v>
      </c>
      <c r="Y444">
        <v>1.84</v>
      </c>
      <c r="Z444">
        <v>0.88</v>
      </c>
      <c r="AA444">
        <v>0.66</v>
      </c>
      <c r="AB444">
        <v>3</v>
      </c>
      <c r="AC444">
        <v>1.53</v>
      </c>
      <c r="AD444">
        <v>0.89</v>
      </c>
      <c r="AE444">
        <v>5.37</v>
      </c>
      <c r="AF444">
        <v>2.0550000000000002</v>
      </c>
      <c r="AG444" t="str">
        <f>HYPERLINK("https://finance.naver.com/item/fchart.naver?code=005870", "휴니드 차트보기")</f>
        <v>휴니드 차트보기</v>
      </c>
    </row>
    <row r="445" spans="1:33" x14ac:dyDescent="0.3">
      <c r="A445" t="s">
        <v>1807</v>
      </c>
      <c r="B445" t="s">
        <v>34</v>
      </c>
      <c r="C445" t="s">
        <v>1808</v>
      </c>
      <c r="D445">
        <v>6133558.6699999999</v>
      </c>
      <c r="E445" t="s">
        <v>1809</v>
      </c>
      <c r="F445">
        <v>35.47</v>
      </c>
      <c r="G445">
        <v>2.6500000953674321</v>
      </c>
      <c r="H445">
        <v>96</v>
      </c>
      <c r="I445">
        <v>0</v>
      </c>
      <c r="J445" t="s">
        <v>1810</v>
      </c>
      <c r="K445">
        <v>3440</v>
      </c>
      <c r="L445">
        <v>3405</v>
      </c>
      <c r="M445">
        <v>-1.02</v>
      </c>
      <c r="N445">
        <v>7.24</v>
      </c>
      <c r="O445">
        <v>12.72</v>
      </c>
      <c r="P445">
        <v>-2.88</v>
      </c>
      <c r="Q445">
        <v>-5.55</v>
      </c>
      <c r="R445">
        <v>-4.57</v>
      </c>
      <c r="S445">
        <v>-2.23</v>
      </c>
      <c r="T445">
        <v>3.09</v>
      </c>
      <c r="U445">
        <v>3.78</v>
      </c>
      <c r="V445">
        <v>3.21</v>
      </c>
      <c r="W445">
        <v>3.69</v>
      </c>
      <c r="X445">
        <v>1.78</v>
      </c>
      <c r="Y445">
        <v>1.34</v>
      </c>
      <c r="Z445">
        <v>2.34</v>
      </c>
      <c r="AA445">
        <v>3.37</v>
      </c>
      <c r="AB445">
        <v>0.9</v>
      </c>
      <c r="AC445">
        <v>1.5</v>
      </c>
      <c r="AD445">
        <v>2.57</v>
      </c>
      <c r="AE445">
        <v>1.66</v>
      </c>
      <c r="AF445">
        <v>2.0566666666666671</v>
      </c>
      <c r="AG445" t="str">
        <f>HYPERLINK("https://finance.naver.com/item/fchart.naver?code=010820", "퍼스텍 차트보기")</f>
        <v>퍼스텍 차트보기</v>
      </c>
    </row>
    <row r="446" spans="1:33" x14ac:dyDescent="0.3">
      <c r="A446" t="s">
        <v>1811</v>
      </c>
      <c r="B446" t="s">
        <v>55</v>
      </c>
      <c r="C446" t="s">
        <v>1812</v>
      </c>
      <c r="D446">
        <v>35564.29</v>
      </c>
      <c r="E446" t="s">
        <v>1813</v>
      </c>
      <c r="F446">
        <v>60.23</v>
      </c>
      <c r="G446">
        <v>10.319999694824221</v>
      </c>
      <c r="H446">
        <v>3553</v>
      </c>
      <c r="I446">
        <v>0.18999999761581421</v>
      </c>
      <c r="J446" t="s">
        <v>1814</v>
      </c>
      <c r="K446">
        <v>167600</v>
      </c>
      <c r="L446">
        <v>214000</v>
      </c>
      <c r="M446">
        <v>27.68</v>
      </c>
      <c r="N446">
        <v>2.64</v>
      </c>
      <c r="O446">
        <v>8.74</v>
      </c>
      <c r="P446">
        <v>3.65</v>
      </c>
      <c r="Q446">
        <v>8.4499999999999993</v>
      </c>
      <c r="R446">
        <v>-12.66</v>
      </c>
      <c r="S446">
        <v>3.31</v>
      </c>
      <c r="T446">
        <v>2.35</v>
      </c>
      <c r="U446">
        <v>3.34</v>
      </c>
      <c r="V446">
        <v>2.58</v>
      </c>
      <c r="W446">
        <v>3.82</v>
      </c>
      <c r="X446">
        <v>3.41</v>
      </c>
      <c r="Y446">
        <v>2.58</v>
      </c>
      <c r="Z446">
        <v>1.1200000000000001</v>
      </c>
      <c r="AA446">
        <v>2.62</v>
      </c>
      <c r="AB446">
        <v>1.41</v>
      </c>
      <c r="AC446">
        <v>2.21</v>
      </c>
      <c r="AD446">
        <v>3.71</v>
      </c>
      <c r="AE446">
        <v>1.28</v>
      </c>
      <c r="AF446">
        <v>2.0583333333333331</v>
      </c>
      <c r="AG446" t="str">
        <f>HYPERLINK("https://finance.naver.com/item/fchart.naver?code=140860", "파크시스템스 차트보기")</f>
        <v>파크시스템스 차트보기</v>
      </c>
    </row>
    <row r="447" spans="1:33" x14ac:dyDescent="0.3">
      <c r="A447" t="s">
        <v>1815</v>
      </c>
      <c r="B447" t="s">
        <v>55</v>
      </c>
      <c r="C447" t="s">
        <v>1816</v>
      </c>
      <c r="D447">
        <v>1491716.29</v>
      </c>
      <c r="E447" t="s">
        <v>1817</v>
      </c>
      <c r="F447">
        <v>34.78</v>
      </c>
      <c r="G447">
        <v>1.169999957084656</v>
      </c>
      <c r="H447">
        <v>67</v>
      </c>
      <c r="I447">
        <v>2.5799999237060551</v>
      </c>
      <c r="J447" t="s">
        <v>1818</v>
      </c>
      <c r="K447">
        <v>2680</v>
      </c>
      <c r="L447">
        <v>2330</v>
      </c>
      <c r="M447">
        <v>-13.06</v>
      </c>
      <c r="N447">
        <v>-6.99</v>
      </c>
      <c r="O447">
        <v>10.75</v>
      </c>
      <c r="P447">
        <v>4.82</v>
      </c>
      <c r="Q447">
        <v>-8.3699999999999992</v>
      </c>
      <c r="R447">
        <v>-5.2</v>
      </c>
      <c r="S447">
        <v>-2.12</v>
      </c>
      <c r="T447">
        <v>5.94</v>
      </c>
      <c r="U447">
        <v>4.59</v>
      </c>
      <c r="V447">
        <v>6.87</v>
      </c>
      <c r="W447">
        <v>4.42</v>
      </c>
      <c r="X447">
        <v>1.08</v>
      </c>
      <c r="Y447">
        <v>1.47</v>
      </c>
      <c r="Z447">
        <v>1.18</v>
      </c>
      <c r="AA447">
        <v>2.34</v>
      </c>
      <c r="AB447">
        <v>0.7</v>
      </c>
      <c r="AC447">
        <v>1.89</v>
      </c>
      <c r="AD447">
        <v>4.8099999999999996</v>
      </c>
      <c r="AE447">
        <v>1.44</v>
      </c>
      <c r="AF447">
        <v>2.06</v>
      </c>
      <c r="AG447" t="str">
        <f>HYPERLINK("https://finance.naver.com/item/fchart.naver?code=089150", "케이씨티 차트보기")</f>
        <v>케이씨티 차트보기</v>
      </c>
    </row>
    <row r="448" spans="1:33" x14ac:dyDescent="0.3">
      <c r="A448" t="s">
        <v>1819</v>
      </c>
      <c r="B448" t="s">
        <v>34</v>
      </c>
      <c r="C448" t="s">
        <v>1820</v>
      </c>
      <c r="D448">
        <v>6446.9</v>
      </c>
      <c r="E448" t="s">
        <v>1821</v>
      </c>
      <c r="F448">
        <v>5.67</v>
      </c>
      <c r="G448">
        <v>0.17000000178813929</v>
      </c>
      <c r="H448">
        <v>4801</v>
      </c>
      <c r="I448">
        <v>4.7800002098083496</v>
      </c>
      <c r="J448" t="s">
        <v>1822</v>
      </c>
      <c r="K448">
        <v>30750</v>
      </c>
      <c r="L448">
        <v>27200</v>
      </c>
      <c r="M448">
        <v>-11.54</v>
      </c>
      <c r="N448">
        <v>0</v>
      </c>
      <c r="O448">
        <v>-6.24</v>
      </c>
      <c r="P448">
        <v>1.39</v>
      </c>
      <c r="Q448">
        <v>-4.67</v>
      </c>
      <c r="R448">
        <v>-1.33</v>
      </c>
      <c r="S448">
        <v>-0.66</v>
      </c>
      <c r="T448">
        <v>1.27</v>
      </c>
      <c r="U448">
        <v>0.9</v>
      </c>
      <c r="V448">
        <v>8.18</v>
      </c>
      <c r="W448">
        <v>2.0699999999999998</v>
      </c>
      <c r="X448">
        <v>0.8</v>
      </c>
      <c r="Y448">
        <v>0.49</v>
      </c>
      <c r="Z448">
        <v>0</v>
      </c>
      <c r="AA448">
        <v>6.93</v>
      </c>
      <c r="AB448">
        <v>0.17</v>
      </c>
      <c r="AC448">
        <v>2.2599999999999998</v>
      </c>
      <c r="AD448">
        <v>1.66</v>
      </c>
      <c r="AE448">
        <v>1.35</v>
      </c>
      <c r="AF448">
        <v>2.061666666666667</v>
      </c>
      <c r="AG448" t="str">
        <f>HYPERLINK("https://finance.naver.com/item/fchart.naver?code=000850", "화천기공 차트보기")</f>
        <v>화천기공 차트보기</v>
      </c>
    </row>
    <row r="449" spans="1:33" x14ac:dyDescent="0.3">
      <c r="A449" t="s">
        <v>1823</v>
      </c>
      <c r="B449" t="s">
        <v>55</v>
      </c>
      <c r="C449" t="s">
        <v>1824</v>
      </c>
      <c r="D449">
        <v>4089046.14</v>
      </c>
      <c r="E449" t="s">
        <v>1825</v>
      </c>
      <c r="F449">
        <v>0</v>
      </c>
      <c r="G449">
        <v>2.119999885559082</v>
      </c>
      <c r="H449">
        <v>0</v>
      </c>
      <c r="I449">
        <v>0</v>
      </c>
      <c r="J449" t="s">
        <v>1826</v>
      </c>
      <c r="K449">
        <v>1431</v>
      </c>
      <c r="L449">
        <v>1798</v>
      </c>
      <c r="M449">
        <v>25.65</v>
      </c>
      <c r="N449">
        <v>13.08</v>
      </c>
      <c r="O449">
        <v>-12.64</v>
      </c>
      <c r="P449">
        <v>-7.68</v>
      </c>
      <c r="Q449">
        <v>70.31</v>
      </c>
      <c r="R449">
        <v>-5.99</v>
      </c>
      <c r="S449">
        <v>-1.37</v>
      </c>
      <c r="T449">
        <v>9.3699999999999992</v>
      </c>
      <c r="U449">
        <v>6.56</v>
      </c>
      <c r="V449">
        <v>7.49</v>
      </c>
      <c r="W449">
        <v>12.99</v>
      </c>
      <c r="X449">
        <v>2.73</v>
      </c>
      <c r="Y449">
        <v>3.34</v>
      </c>
      <c r="Z449">
        <v>1.4</v>
      </c>
      <c r="AA449">
        <v>1.93</v>
      </c>
      <c r="AB449">
        <v>1.03</v>
      </c>
      <c r="AC449">
        <v>5.41</v>
      </c>
      <c r="AD449">
        <v>2.19</v>
      </c>
      <c r="AE449">
        <v>0.41</v>
      </c>
      <c r="AF449">
        <v>2.061666666666667</v>
      </c>
      <c r="AG449" t="str">
        <f>HYPERLINK("https://finance.naver.com/item/fchart.naver?code=214610", "미코바이오메드 차트보기")</f>
        <v>미코바이오메드 차트보기</v>
      </c>
    </row>
    <row r="450" spans="1:33" x14ac:dyDescent="0.3">
      <c r="A450" t="s">
        <v>1827</v>
      </c>
      <c r="B450" t="s">
        <v>55</v>
      </c>
      <c r="C450" t="s">
        <v>1828</v>
      </c>
      <c r="D450">
        <v>1055853.76</v>
      </c>
      <c r="E450" t="s">
        <v>1829</v>
      </c>
      <c r="F450">
        <v>0</v>
      </c>
      <c r="G450">
        <v>1.0900000333786011</v>
      </c>
      <c r="H450">
        <v>0</v>
      </c>
      <c r="I450">
        <v>0</v>
      </c>
      <c r="J450" t="s">
        <v>1830</v>
      </c>
      <c r="K450">
        <v>1138</v>
      </c>
      <c r="L450">
        <v>750</v>
      </c>
      <c r="M450">
        <v>-34.090000000000003</v>
      </c>
      <c r="N450">
        <v>-13.19</v>
      </c>
      <c r="O450">
        <v>-22.49</v>
      </c>
      <c r="P450">
        <v>4.45</v>
      </c>
      <c r="Q450">
        <v>7.33</v>
      </c>
      <c r="R450">
        <v>8.9</v>
      </c>
      <c r="S450">
        <v>0</v>
      </c>
      <c r="T450">
        <v>3.38</v>
      </c>
      <c r="U450">
        <v>4.84</v>
      </c>
      <c r="V450">
        <v>4.13</v>
      </c>
      <c r="W450">
        <v>11.49</v>
      </c>
      <c r="X450">
        <v>4.22</v>
      </c>
      <c r="Y450">
        <v>3.47</v>
      </c>
      <c r="Z450">
        <v>3.9</v>
      </c>
      <c r="AA450">
        <v>4.6500000000000004</v>
      </c>
      <c r="AB450">
        <v>1.08</v>
      </c>
      <c r="AC450">
        <v>0.64</v>
      </c>
      <c r="AD450">
        <v>2.11</v>
      </c>
      <c r="AE450">
        <v>0</v>
      </c>
      <c r="AF450">
        <v>2.063333333333333</v>
      </c>
      <c r="AG450" t="str">
        <f>HYPERLINK("https://finance.naver.com/item/fchart.naver?code=241820", "피씨엘 차트보기")</f>
        <v>피씨엘 차트보기</v>
      </c>
    </row>
    <row r="451" spans="1:33" x14ac:dyDescent="0.3">
      <c r="A451" t="s">
        <v>1831</v>
      </c>
      <c r="B451" t="s">
        <v>34</v>
      </c>
      <c r="C451" t="s">
        <v>1832</v>
      </c>
      <c r="D451">
        <v>95996.67</v>
      </c>
      <c r="E451" t="s">
        <v>1833</v>
      </c>
      <c r="F451">
        <v>2.4500000000000002</v>
      </c>
      <c r="G451">
        <v>0.30000001192092901</v>
      </c>
      <c r="H451">
        <v>2470</v>
      </c>
      <c r="I451">
        <v>3.809999942779541</v>
      </c>
      <c r="J451" t="s">
        <v>1834</v>
      </c>
      <c r="K451">
        <v>5390</v>
      </c>
      <c r="L451">
        <v>6040</v>
      </c>
      <c r="M451">
        <v>12.06</v>
      </c>
      <c r="N451">
        <v>3.78</v>
      </c>
      <c r="O451">
        <v>-2.2000000000000002</v>
      </c>
      <c r="P451">
        <v>-0.66</v>
      </c>
      <c r="Q451">
        <v>-3.48</v>
      </c>
      <c r="R451">
        <v>3.02</v>
      </c>
      <c r="S451">
        <v>15.25</v>
      </c>
      <c r="T451">
        <v>0.99</v>
      </c>
      <c r="U451">
        <v>1.81</v>
      </c>
      <c r="V451">
        <v>1.91</v>
      </c>
      <c r="W451">
        <v>2.4300000000000002</v>
      </c>
      <c r="X451">
        <v>2.0499999999999998</v>
      </c>
      <c r="Y451">
        <v>3.71</v>
      </c>
      <c r="Z451">
        <v>3.82</v>
      </c>
      <c r="AA451">
        <v>1.22</v>
      </c>
      <c r="AB451">
        <v>0.35</v>
      </c>
      <c r="AC451">
        <v>1.43</v>
      </c>
      <c r="AD451">
        <v>1.47</v>
      </c>
      <c r="AE451">
        <v>4.1100000000000003</v>
      </c>
      <c r="AF451">
        <v>2.066666666666666</v>
      </c>
      <c r="AG451" t="str">
        <f>HYPERLINK("https://finance.naver.com/item/fchart.naver?code=033920", "무학 차트보기")</f>
        <v>무학 차트보기</v>
      </c>
    </row>
    <row r="452" spans="1:33" x14ac:dyDescent="0.3">
      <c r="A452" t="s">
        <v>1835</v>
      </c>
      <c r="B452" t="s">
        <v>55</v>
      </c>
      <c r="C452" t="s">
        <v>1836</v>
      </c>
      <c r="D452">
        <v>254156.57</v>
      </c>
      <c r="E452" t="s">
        <v>1837</v>
      </c>
      <c r="F452">
        <v>0</v>
      </c>
      <c r="G452">
        <v>15.960000038146971</v>
      </c>
      <c r="H452">
        <v>0</v>
      </c>
      <c r="I452">
        <v>0</v>
      </c>
      <c r="J452" t="s">
        <v>1838</v>
      </c>
      <c r="K452">
        <v>10340</v>
      </c>
      <c r="L452">
        <v>14620</v>
      </c>
      <c r="M452">
        <v>41.39</v>
      </c>
      <c r="N452">
        <v>12.46</v>
      </c>
      <c r="O452">
        <v>6.27</v>
      </c>
      <c r="P452">
        <v>7.35</v>
      </c>
      <c r="Q452">
        <v>4.0599999999999996</v>
      </c>
      <c r="R452">
        <v>-11.8</v>
      </c>
      <c r="S452">
        <v>3.87</v>
      </c>
      <c r="T452">
        <v>4.33</v>
      </c>
      <c r="U452">
        <v>4.5199999999999996</v>
      </c>
      <c r="V452">
        <v>3.98</v>
      </c>
      <c r="W452">
        <v>4.12</v>
      </c>
      <c r="X452">
        <v>2.83</v>
      </c>
      <c r="Y452">
        <v>3.43</v>
      </c>
      <c r="Z452">
        <v>2.88</v>
      </c>
      <c r="AA452">
        <v>1.39</v>
      </c>
      <c r="AB452">
        <v>1.85</v>
      </c>
      <c r="AC452">
        <v>0.99</v>
      </c>
      <c r="AD452">
        <v>4.17</v>
      </c>
      <c r="AE452">
        <v>1.1299999999999999</v>
      </c>
      <c r="AF452">
        <v>2.0683333333333329</v>
      </c>
      <c r="AG452" t="str">
        <f>HYPERLINK("https://finance.naver.com/item/fchart.naver?code=166480", "코아스템켐온 차트보기")</f>
        <v>코아스템켐온 차트보기</v>
      </c>
    </row>
    <row r="453" spans="1:33" x14ac:dyDescent="0.3">
      <c r="A453" t="s">
        <v>1839</v>
      </c>
      <c r="B453" t="s">
        <v>55</v>
      </c>
      <c r="C453" t="s">
        <v>1840</v>
      </c>
      <c r="D453">
        <v>792571.9</v>
      </c>
      <c r="E453" t="s">
        <v>1841</v>
      </c>
      <c r="J453" t="s">
        <v>1842</v>
      </c>
      <c r="K453">
        <v>1959</v>
      </c>
      <c r="L453">
        <v>1329</v>
      </c>
      <c r="M453">
        <v>-32.159999999999997</v>
      </c>
      <c r="N453">
        <v>-4.53</v>
      </c>
      <c r="O453">
        <v>3.44</v>
      </c>
      <c r="P453">
        <v>-3.24</v>
      </c>
      <c r="Q453">
        <v>0.33</v>
      </c>
      <c r="R453">
        <v>-7.4</v>
      </c>
      <c r="S453">
        <v>-14.85</v>
      </c>
      <c r="T453">
        <v>2.2400000000000002</v>
      </c>
      <c r="U453">
        <v>2.82</v>
      </c>
      <c r="V453">
        <v>8.2899999999999991</v>
      </c>
      <c r="W453">
        <v>3.38</v>
      </c>
      <c r="X453">
        <v>1.86</v>
      </c>
      <c r="Y453">
        <v>3.15</v>
      </c>
      <c r="Z453">
        <v>2.02</v>
      </c>
      <c r="AA453">
        <v>1.22</v>
      </c>
      <c r="AB453">
        <v>0.39</v>
      </c>
      <c r="AC453">
        <v>0.1</v>
      </c>
      <c r="AD453">
        <v>3.98</v>
      </c>
      <c r="AE453">
        <v>4.71</v>
      </c>
      <c r="AF453">
        <v>2.0699999999999998</v>
      </c>
      <c r="AG453" t="str">
        <f>HYPERLINK("https://finance.naver.com/item/fchart.naver?code=950220", "네오이뮨텍 차트보기")</f>
        <v>네오이뮨텍 차트보기</v>
      </c>
    </row>
    <row r="454" spans="1:33" x14ac:dyDescent="0.3">
      <c r="A454" t="s">
        <v>1843</v>
      </c>
      <c r="B454" t="s">
        <v>55</v>
      </c>
      <c r="C454" t="s">
        <v>1844</v>
      </c>
      <c r="D454">
        <v>339459.76</v>
      </c>
      <c r="E454" t="s">
        <v>1845</v>
      </c>
      <c r="F454">
        <v>40.909999999999997</v>
      </c>
      <c r="G454">
        <v>10.670000076293951</v>
      </c>
      <c r="H454">
        <v>1155</v>
      </c>
      <c r="I454">
        <v>0.41999998688697809</v>
      </c>
      <c r="J454" t="s">
        <v>1846</v>
      </c>
      <c r="K454">
        <v>49450</v>
      </c>
      <c r="L454">
        <v>47250</v>
      </c>
      <c r="M454">
        <v>-4.45</v>
      </c>
      <c r="N454">
        <v>-1.97</v>
      </c>
      <c r="O454">
        <v>-7.14</v>
      </c>
      <c r="P454">
        <v>7.55</v>
      </c>
      <c r="Q454">
        <v>6.34</v>
      </c>
      <c r="R454">
        <v>-10.1</v>
      </c>
      <c r="S454">
        <v>4.74</v>
      </c>
      <c r="T454">
        <v>3.64</v>
      </c>
      <c r="U454">
        <v>4.17</v>
      </c>
      <c r="V454">
        <v>2.13</v>
      </c>
      <c r="W454">
        <v>4.43</v>
      </c>
      <c r="X454">
        <v>2.5299999999999998</v>
      </c>
      <c r="Y454">
        <v>3.91</v>
      </c>
      <c r="Z454">
        <v>0.54</v>
      </c>
      <c r="AA454">
        <v>1.71</v>
      </c>
      <c r="AB454">
        <v>3.54</v>
      </c>
      <c r="AC454">
        <v>1.43</v>
      </c>
      <c r="AD454">
        <v>3.99</v>
      </c>
      <c r="AE454">
        <v>1.21</v>
      </c>
      <c r="AF454">
        <v>2.0699999999999998</v>
      </c>
      <c r="AG454" t="str">
        <f>HYPERLINK("https://finance.naver.com/item/fchart.naver?code=214150", "클래시스 차트보기")</f>
        <v>클래시스 차트보기</v>
      </c>
    </row>
    <row r="455" spans="1:33" x14ac:dyDescent="0.3">
      <c r="A455" t="s">
        <v>1847</v>
      </c>
      <c r="B455" t="s">
        <v>55</v>
      </c>
      <c r="C455" t="s">
        <v>1848</v>
      </c>
      <c r="D455">
        <v>985568.33</v>
      </c>
      <c r="E455" t="s">
        <v>1849</v>
      </c>
      <c r="F455">
        <v>0</v>
      </c>
      <c r="G455">
        <v>1.129999995231628</v>
      </c>
      <c r="H455">
        <v>0</v>
      </c>
      <c r="I455">
        <v>0</v>
      </c>
      <c r="J455" t="s">
        <v>1850</v>
      </c>
      <c r="K455">
        <v>6950</v>
      </c>
      <c r="L455">
        <v>5210</v>
      </c>
      <c r="M455">
        <v>-25.04</v>
      </c>
      <c r="N455">
        <v>3.78</v>
      </c>
      <c r="O455">
        <v>0.99</v>
      </c>
      <c r="P455">
        <v>-2.4700000000000002</v>
      </c>
      <c r="Q455">
        <v>-3.78</v>
      </c>
      <c r="R455">
        <v>-12.56</v>
      </c>
      <c r="S455">
        <v>-0.93</v>
      </c>
      <c r="T455">
        <v>1.1499999999999999</v>
      </c>
      <c r="U455">
        <v>7.65</v>
      </c>
      <c r="V455">
        <v>3.89</v>
      </c>
      <c r="W455">
        <v>4.67</v>
      </c>
      <c r="X455">
        <v>1.8</v>
      </c>
      <c r="Y455">
        <v>1.57</v>
      </c>
      <c r="Z455">
        <v>3.29</v>
      </c>
      <c r="AA455">
        <v>0.13</v>
      </c>
      <c r="AB455">
        <v>0.63</v>
      </c>
      <c r="AC455">
        <v>0.81</v>
      </c>
      <c r="AD455">
        <v>6.98</v>
      </c>
      <c r="AE455">
        <v>0.59</v>
      </c>
      <c r="AF455">
        <v>2.0716666666666672</v>
      </c>
      <c r="AG455" t="str">
        <f>HYPERLINK("https://finance.naver.com/item/fchart.naver?code=307930", "컴퍼니케이 차트보기")</f>
        <v>컴퍼니케이 차트보기</v>
      </c>
    </row>
    <row r="456" spans="1:33" x14ac:dyDescent="0.3">
      <c r="A456" t="s">
        <v>1851</v>
      </c>
      <c r="B456" t="s">
        <v>34</v>
      </c>
      <c r="C456" t="s">
        <v>1852</v>
      </c>
      <c r="D456">
        <v>1470407.76</v>
      </c>
      <c r="E456" t="s">
        <v>1853</v>
      </c>
      <c r="F456">
        <v>0</v>
      </c>
      <c r="G456">
        <v>0.67000001668930054</v>
      </c>
      <c r="H456">
        <v>0</v>
      </c>
      <c r="I456">
        <v>0</v>
      </c>
      <c r="J456" t="s">
        <v>1854</v>
      </c>
      <c r="K456">
        <v>647</v>
      </c>
      <c r="L456">
        <v>550</v>
      </c>
      <c r="M456">
        <v>-14.99</v>
      </c>
      <c r="N456">
        <v>8.48</v>
      </c>
      <c r="O456">
        <v>-3.05</v>
      </c>
      <c r="P456">
        <v>-1.1200000000000001</v>
      </c>
      <c r="Q456">
        <v>-5.99</v>
      </c>
      <c r="R456">
        <v>-3.91</v>
      </c>
      <c r="S456">
        <v>-17.07</v>
      </c>
      <c r="T456">
        <v>4.18</v>
      </c>
      <c r="U456">
        <v>3.86</v>
      </c>
      <c r="V456">
        <v>1.34</v>
      </c>
      <c r="W456">
        <v>2.65</v>
      </c>
      <c r="X456">
        <v>1.5</v>
      </c>
      <c r="Y456">
        <v>4.38</v>
      </c>
      <c r="Z456">
        <v>2.0299999999999998</v>
      </c>
      <c r="AA456">
        <v>0.79</v>
      </c>
      <c r="AB456">
        <v>0.84</v>
      </c>
      <c r="AC456">
        <v>2.2599999999999998</v>
      </c>
      <c r="AD456">
        <v>2.61</v>
      </c>
      <c r="AE456">
        <v>3.9</v>
      </c>
      <c r="AF456">
        <v>2.0716666666666672</v>
      </c>
      <c r="AG456" t="str">
        <f>HYPERLINK("https://finance.naver.com/item/fchart.naver?code=002360", "SH에너지화학 차트보기")</f>
        <v>SH에너지화학 차트보기</v>
      </c>
    </row>
    <row r="457" spans="1:33" x14ac:dyDescent="0.3">
      <c r="A457" t="s">
        <v>1855</v>
      </c>
      <c r="B457" t="s">
        <v>34</v>
      </c>
      <c r="C457" t="s">
        <v>1856</v>
      </c>
      <c r="D457">
        <v>2329.71</v>
      </c>
      <c r="E457" t="s">
        <v>1857</v>
      </c>
      <c r="F457">
        <v>0</v>
      </c>
      <c r="G457">
        <v>0</v>
      </c>
      <c r="H457">
        <v>0</v>
      </c>
      <c r="I457">
        <v>4.1700000762939453</v>
      </c>
      <c r="J457" t="s">
        <v>1858</v>
      </c>
      <c r="K457">
        <v>3065</v>
      </c>
      <c r="L457">
        <v>3115</v>
      </c>
      <c r="M457">
        <v>1.63</v>
      </c>
      <c r="N457">
        <v>0.16</v>
      </c>
      <c r="O457">
        <v>-1.58</v>
      </c>
      <c r="P457">
        <v>3.62</v>
      </c>
      <c r="Q457">
        <v>-2.56</v>
      </c>
      <c r="R457">
        <v>2.27</v>
      </c>
      <c r="S457">
        <v>-0.65</v>
      </c>
      <c r="T457">
        <v>0.78</v>
      </c>
      <c r="U457">
        <v>0.85</v>
      </c>
      <c r="V457">
        <v>0.63</v>
      </c>
      <c r="W457">
        <v>1.81</v>
      </c>
      <c r="X457">
        <v>0.9</v>
      </c>
      <c r="Y457">
        <v>0.96</v>
      </c>
      <c r="Z457">
        <v>0.21</v>
      </c>
      <c r="AA457">
        <v>1.86</v>
      </c>
      <c r="AB457">
        <v>5.75</v>
      </c>
      <c r="AC457">
        <v>1.41</v>
      </c>
      <c r="AD457">
        <v>2.52</v>
      </c>
      <c r="AE457">
        <v>0.68</v>
      </c>
      <c r="AF457">
        <v>2.0716666666666672</v>
      </c>
      <c r="AG457" t="str">
        <f>HYPERLINK("https://finance.naver.com/item/fchart.naver?code=005725", "넥센우 차트보기")</f>
        <v>넥센우 차트보기</v>
      </c>
    </row>
    <row r="458" spans="1:33" x14ac:dyDescent="0.3">
      <c r="A458" t="s">
        <v>1859</v>
      </c>
      <c r="B458" t="s">
        <v>55</v>
      </c>
      <c r="C458" t="s">
        <v>1860</v>
      </c>
      <c r="D458">
        <v>721976.67</v>
      </c>
      <c r="E458" t="s">
        <v>1861</v>
      </c>
      <c r="F458">
        <v>0</v>
      </c>
      <c r="G458">
        <v>1.570000052452087</v>
      </c>
      <c r="H458">
        <v>0</v>
      </c>
      <c r="I458">
        <v>0</v>
      </c>
      <c r="J458" t="s">
        <v>1862</v>
      </c>
      <c r="K458">
        <v>5470</v>
      </c>
      <c r="L458">
        <v>3800</v>
      </c>
      <c r="M458">
        <v>-30.53</v>
      </c>
      <c r="N458">
        <v>-3.43</v>
      </c>
      <c r="O458">
        <v>1.38</v>
      </c>
      <c r="P458">
        <v>-2.06</v>
      </c>
      <c r="Q458">
        <v>-12.39</v>
      </c>
      <c r="R458">
        <v>-13.06</v>
      </c>
      <c r="S458">
        <v>-1.27</v>
      </c>
      <c r="T458">
        <v>2.92</v>
      </c>
      <c r="U458">
        <v>7.5</v>
      </c>
      <c r="V458">
        <v>2.96</v>
      </c>
      <c r="W458">
        <v>4.58</v>
      </c>
      <c r="X458">
        <v>1.79</v>
      </c>
      <c r="Y458">
        <v>3.22</v>
      </c>
      <c r="Z458">
        <v>1.17</v>
      </c>
      <c r="AA458">
        <v>0.18</v>
      </c>
      <c r="AB458">
        <v>0.7</v>
      </c>
      <c r="AC458">
        <v>2.71</v>
      </c>
      <c r="AD458">
        <v>7.3</v>
      </c>
      <c r="AE458">
        <v>0.39</v>
      </c>
      <c r="AF458">
        <v>2.0750000000000002</v>
      </c>
      <c r="AG458" t="str">
        <f>HYPERLINK("https://finance.naver.com/item/fchart.naver?code=446540", "메가터치 차트보기")</f>
        <v>메가터치 차트보기</v>
      </c>
    </row>
    <row r="459" spans="1:33" x14ac:dyDescent="0.3">
      <c r="A459" t="s">
        <v>1863</v>
      </c>
      <c r="B459" t="s">
        <v>34</v>
      </c>
      <c r="C459" t="s">
        <v>1864</v>
      </c>
      <c r="D459">
        <v>23010.1</v>
      </c>
      <c r="E459" t="s">
        <v>1865</v>
      </c>
      <c r="F459">
        <v>2.88</v>
      </c>
      <c r="G459">
        <v>0.27000001072883612</v>
      </c>
      <c r="H459">
        <v>1128</v>
      </c>
      <c r="I459">
        <v>5.380000114440918</v>
      </c>
      <c r="J459" t="s">
        <v>1866</v>
      </c>
      <c r="K459">
        <v>3630</v>
      </c>
      <c r="L459">
        <v>3250</v>
      </c>
      <c r="M459">
        <v>-10.47</v>
      </c>
      <c r="N459">
        <v>-0.61</v>
      </c>
      <c r="O459">
        <v>-2.2400000000000002</v>
      </c>
      <c r="P459">
        <v>-0.44</v>
      </c>
      <c r="Q459">
        <v>1.2</v>
      </c>
      <c r="R459">
        <v>-5.08</v>
      </c>
      <c r="S459">
        <v>-1.1100000000000001</v>
      </c>
      <c r="T459">
        <v>1.2</v>
      </c>
      <c r="U459">
        <v>0.78</v>
      </c>
      <c r="V459">
        <v>1.08</v>
      </c>
      <c r="W459">
        <v>2.81</v>
      </c>
      <c r="X459">
        <v>0.72</v>
      </c>
      <c r="Y459">
        <v>0.95</v>
      </c>
      <c r="Z459">
        <v>0.51</v>
      </c>
      <c r="AA459">
        <v>2.87</v>
      </c>
      <c r="AB459">
        <v>0.41</v>
      </c>
      <c r="AC459">
        <v>0.43</v>
      </c>
      <c r="AD459">
        <v>7.06</v>
      </c>
      <c r="AE459">
        <v>1.17</v>
      </c>
      <c r="AF459">
        <v>2.0750000000000002</v>
      </c>
      <c r="AG459" t="str">
        <f>HYPERLINK("https://finance.naver.com/item/fchart.naver?code=123700", "SJM 차트보기")</f>
        <v>SJM 차트보기</v>
      </c>
    </row>
    <row r="460" spans="1:33" x14ac:dyDescent="0.3">
      <c r="A460" t="s">
        <v>1867</v>
      </c>
      <c r="B460" t="s">
        <v>34</v>
      </c>
      <c r="C460" t="s">
        <v>1868</v>
      </c>
      <c r="D460">
        <v>2557.9499999999998</v>
      </c>
      <c r="E460" t="s">
        <v>1869</v>
      </c>
      <c r="F460">
        <v>12.44</v>
      </c>
      <c r="G460">
        <v>0.46000000834465032</v>
      </c>
      <c r="H460">
        <v>2749</v>
      </c>
      <c r="I460">
        <v>2.190000057220459</v>
      </c>
      <c r="J460" t="s">
        <v>1870</v>
      </c>
      <c r="K460">
        <v>37450</v>
      </c>
      <c r="L460">
        <v>34200</v>
      </c>
      <c r="M460">
        <v>-8.68</v>
      </c>
      <c r="N460">
        <v>-1.3</v>
      </c>
      <c r="O460">
        <v>-4.96</v>
      </c>
      <c r="P460">
        <v>-0.14000000000000001</v>
      </c>
      <c r="Q460">
        <v>-4.1100000000000003</v>
      </c>
      <c r="R460">
        <v>-2.82</v>
      </c>
      <c r="S460">
        <v>4.03</v>
      </c>
      <c r="T460">
        <v>0.47</v>
      </c>
      <c r="U460">
        <v>1.42</v>
      </c>
      <c r="V460">
        <v>0.65</v>
      </c>
      <c r="W460">
        <v>1.89</v>
      </c>
      <c r="X460">
        <v>1.3</v>
      </c>
      <c r="Y460">
        <v>2.4700000000000002</v>
      </c>
      <c r="Z460">
        <v>2.77</v>
      </c>
      <c r="AA460">
        <v>3.49</v>
      </c>
      <c r="AB460">
        <v>0.22</v>
      </c>
      <c r="AC460">
        <v>2.17</v>
      </c>
      <c r="AD460">
        <v>2.17</v>
      </c>
      <c r="AE460">
        <v>1.63</v>
      </c>
      <c r="AF460">
        <v>2.0750000000000002</v>
      </c>
      <c r="AG460" t="str">
        <f>HYPERLINK("https://finance.naver.com/item/fchart.naver?code=031440", "신세계푸드 차트보기")</f>
        <v>신세계푸드 차트보기</v>
      </c>
    </row>
    <row r="461" spans="1:33" x14ac:dyDescent="0.3">
      <c r="A461" t="s">
        <v>1871</v>
      </c>
      <c r="B461" t="s">
        <v>55</v>
      </c>
      <c r="C461" t="s">
        <v>1872</v>
      </c>
      <c r="D461">
        <v>839380.1</v>
      </c>
      <c r="E461" t="s">
        <v>1873</v>
      </c>
      <c r="F461">
        <v>37.869999999999997</v>
      </c>
      <c r="G461">
        <v>1.279999971389771</v>
      </c>
      <c r="H461">
        <v>30</v>
      </c>
      <c r="I461">
        <v>0</v>
      </c>
      <c r="J461" t="s">
        <v>1874</v>
      </c>
      <c r="K461">
        <v>1366</v>
      </c>
      <c r="L461">
        <v>1136</v>
      </c>
      <c r="M461">
        <v>-16.84</v>
      </c>
      <c r="N461">
        <v>-7.42</v>
      </c>
      <c r="O461">
        <v>1.62</v>
      </c>
      <c r="P461">
        <v>2.75</v>
      </c>
      <c r="Q461">
        <v>2.81</v>
      </c>
      <c r="R461">
        <v>-3.54</v>
      </c>
      <c r="S461">
        <v>-8.44</v>
      </c>
      <c r="T461">
        <v>2.36</v>
      </c>
      <c r="U461">
        <v>2.16</v>
      </c>
      <c r="V461">
        <v>2.63</v>
      </c>
      <c r="W461">
        <v>3.88</v>
      </c>
      <c r="X461">
        <v>2.38</v>
      </c>
      <c r="Y461">
        <v>1.59</v>
      </c>
      <c r="Z461">
        <v>3.14</v>
      </c>
      <c r="AA461">
        <v>0.75</v>
      </c>
      <c r="AB461">
        <v>1.05</v>
      </c>
      <c r="AC461">
        <v>0.72</v>
      </c>
      <c r="AD461">
        <v>1.49</v>
      </c>
      <c r="AE461">
        <v>5.31</v>
      </c>
      <c r="AF461">
        <v>2.0766666666666671</v>
      </c>
      <c r="AG461" t="str">
        <f>HYPERLINK("https://finance.naver.com/item/fchart.naver?code=037950", "엘컴텍 차트보기")</f>
        <v>엘컴텍 차트보기</v>
      </c>
    </row>
    <row r="462" spans="1:33" x14ac:dyDescent="0.3">
      <c r="A462" t="s">
        <v>1875</v>
      </c>
      <c r="B462" t="s">
        <v>34</v>
      </c>
      <c r="C462" t="s">
        <v>1876</v>
      </c>
      <c r="D462">
        <v>142800.85999999999</v>
      </c>
      <c r="E462" t="s">
        <v>1877</v>
      </c>
      <c r="F462">
        <v>0</v>
      </c>
      <c r="G462">
        <v>0.67000001668930054</v>
      </c>
      <c r="H462">
        <v>0</v>
      </c>
      <c r="I462">
        <v>4.4099998474121094</v>
      </c>
      <c r="J462" t="s">
        <v>1878</v>
      </c>
      <c r="K462">
        <v>4350</v>
      </c>
      <c r="L462">
        <v>4260</v>
      </c>
      <c r="M462">
        <v>-2.0699999999999998</v>
      </c>
      <c r="N462">
        <v>0.24</v>
      </c>
      <c r="O462">
        <v>9.23</v>
      </c>
      <c r="P462">
        <v>1.28</v>
      </c>
      <c r="Q462">
        <v>-1.37</v>
      </c>
      <c r="R462">
        <v>-1.24</v>
      </c>
      <c r="S462">
        <v>-5.61</v>
      </c>
      <c r="T462">
        <v>1.44</v>
      </c>
      <c r="U462">
        <v>1.34</v>
      </c>
      <c r="V462">
        <v>1.91</v>
      </c>
      <c r="W462">
        <v>2.57</v>
      </c>
      <c r="X462">
        <v>1.1499999999999999</v>
      </c>
      <c r="Y462">
        <v>1.8</v>
      </c>
      <c r="Z462">
        <v>0.17</v>
      </c>
      <c r="AA462">
        <v>6.89</v>
      </c>
      <c r="AB462">
        <v>0.67</v>
      </c>
      <c r="AC462">
        <v>0.53</v>
      </c>
      <c r="AD462">
        <v>1.08</v>
      </c>
      <c r="AE462">
        <v>3.12</v>
      </c>
      <c r="AF462">
        <v>2.0766666666666671</v>
      </c>
      <c r="AG462" t="str">
        <f>HYPERLINK("https://finance.naver.com/item/fchart.naver?code=006060", "화승인더 차트보기")</f>
        <v>화승인더 차트보기</v>
      </c>
    </row>
    <row r="463" spans="1:33" x14ac:dyDescent="0.3">
      <c r="A463" t="s">
        <v>1879</v>
      </c>
      <c r="B463" t="s">
        <v>55</v>
      </c>
      <c r="C463" t="s">
        <v>1880</v>
      </c>
      <c r="D463">
        <v>5156.1400000000003</v>
      </c>
      <c r="E463" t="s">
        <v>1881</v>
      </c>
      <c r="F463">
        <v>0</v>
      </c>
      <c r="G463">
        <v>0</v>
      </c>
      <c r="H463">
        <v>0</v>
      </c>
      <c r="I463">
        <v>0</v>
      </c>
      <c r="J463" t="s">
        <v>1882</v>
      </c>
      <c r="K463">
        <v>2160</v>
      </c>
      <c r="L463">
        <v>2080</v>
      </c>
      <c r="M463">
        <v>-3.7</v>
      </c>
      <c r="N463">
        <v>-1.42</v>
      </c>
      <c r="O463">
        <v>0.71</v>
      </c>
      <c r="P463">
        <v>-0.94</v>
      </c>
      <c r="Q463">
        <v>-1.85</v>
      </c>
      <c r="R463">
        <v>-1.1399999999999999</v>
      </c>
      <c r="S463">
        <v>1.1499999999999999</v>
      </c>
      <c r="T463">
        <v>0.71</v>
      </c>
      <c r="U463">
        <v>0.91</v>
      </c>
      <c r="V463">
        <v>0.54</v>
      </c>
      <c r="W463">
        <v>0.54</v>
      </c>
      <c r="X463">
        <v>0.42</v>
      </c>
      <c r="Y463">
        <v>0.64</v>
      </c>
      <c r="Z463">
        <v>2</v>
      </c>
      <c r="AA463">
        <v>0.78</v>
      </c>
      <c r="AB463">
        <v>1.74</v>
      </c>
      <c r="AC463">
        <v>3.43</v>
      </c>
      <c r="AD463">
        <v>2.71</v>
      </c>
      <c r="AE463">
        <v>1.8</v>
      </c>
      <c r="AF463">
        <v>2.0766666666666671</v>
      </c>
      <c r="AG463" t="str">
        <f>HYPERLINK("https://finance.naver.com/item/fchart.naver?code=450050", "하이제8호스팩 차트보기")</f>
        <v>하이제8호스팩 차트보기</v>
      </c>
    </row>
    <row r="464" spans="1:33" x14ac:dyDescent="0.3">
      <c r="A464" t="s">
        <v>1883</v>
      </c>
      <c r="B464" t="s">
        <v>55</v>
      </c>
      <c r="C464" t="s">
        <v>1884</v>
      </c>
      <c r="D464">
        <v>6649.76</v>
      </c>
      <c r="E464" t="s">
        <v>1885</v>
      </c>
      <c r="F464">
        <v>0</v>
      </c>
      <c r="G464">
        <v>0.56999999284744263</v>
      </c>
      <c r="H464">
        <v>0</v>
      </c>
      <c r="I464">
        <v>6.440000057220459</v>
      </c>
      <c r="J464" t="s">
        <v>1886</v>
      </c>
      <c r="K464">
        <v>9130</v>
      </c>
      <c r="L464">
        <v>9310</v>
      </c>
      <c r="M464">
        <v>1.97</v>
      </c>
      <c r="N464">
        <v>-0.64</v>
      </c>
      <c r="O464">
        <v>-0.43</v>
      </c>
      <c r="P464">
        <v>-1.57</v>
      </c>
      <c r="Q464">
        <v>0.74</v>
      </c>
      <c r="R464">
        <v>2.61</v>
      </c>
      <c r="S464">
        <v>-0.44</v>
      </c>
      <c r="T464">
        <v>0.37</v>
      </c>
      <c r="U464">
        <v>0.61</v>
      </c>
      <c r="V464">
        <v>0.48</v>
      </c>
      <c r="W464">
        <v>1.88</v>
      </c>
      <c r="X464">
        <v>0.45</v>
      </c>
      <c r="Y464">
        <v>0.75</v>
      </c>
      <c r="Z464">
        <v>1.73</v>
      </c>
      <c r="AA464">
        <v>0.7</v>
      </c>
      <c r="AB464">
        <v>3.27</v>
      </c>
      <c r="AC464">
        <v>0.39</v>
      </c>
      <c r="AD464">
        <v>5.8</v>
      </c>
      <c r="AE464">
        <v>0.59</v>
      </c>
      <c r="AF464">
        <v>2.08</v>
      </c>
      <c r="AG464" t="str">
        <f>HYPERLINK("https://finance.naver.com/item/fchart.naver?code=004650", "창해에탄올 차트보기")</f>
        <v>창해에탄올 차트보기</v>
      </c>
    </row>
    <row r="465" spans="1:33" x14ac:dyDescent="0.3">
      <c r="A465" t="s">
        <v>1887</v>
      </c>
      <c r="B465" t="s">
        <v>55</v>
      </c>
      <c r="C465" t="s">
        <v>1888</v>
      </c>
      <c r="D465">
        <v>101232.81</v>
      </c>
      <c r="E465" t="s">
        <v>1889</v>
      </c>
      <c r="F465">
        <v>0</v>
      </c>
      <c r="G465">
        <v>0.47999998927116388</v>
      </c>
      <c r="H465">
        <v>0</v>
      </c>
      <c r="I465">
        <v>0</v>
      </c>
      <c r="J465" t="s">
        <v>1890</v>
      </c>
      <c r="K465">
        <v>370</v>
      </c>
      <c r="L465">
        <v>266</v>
      </c>
      <c r="M465">
        <v>-28.11</v>
      </c>
      <c r="N465">
        <v>0.38</v>
      </c>
      <c r="O465">
        <v>-1.83</v>
      </c>
      <c r="P465">
        <v>-8.2799999999999994</v>
      </c>
      <c r="Q465">
        <v>-5.5</v>
      </c>
      <c r="R465">
        <v>0.9</v>
      </c>
      <c r="S465">
        <v>-4.05</v>
      </c>
      <c r="T465">
        <v>1.1000000000000001</v>
      </c>
      <c r="U465">
        <v>1.27</v>
      </c>
      <c r="V465">
        <v>1.84</v>
      </c>
      <c r="W465">
        <v>7.41</v>
      </c>
      <c r="X465">
        <v>1.59</v>
      </c>
      <c r="Y465">
        <v>0.83</v>
      </c>
      <c r="Z465">
        <v>0.35</v>
      </c>
      <c r="AA465">
        <v>1.44</v>
      </c>
      <c r="AB465">
        <v>4.5</v>
      </c>
      <c r="AC465">
        <v>0.74</v>
      </c>
      <c r="AD465">
        <v>0.56999999999999995</v>
      </c>
      <c r="AE465">
        <v>4.88</v>
      </c>
      <c r="AF465">
        <v>2.08</v>
      </c>
      <c r="AG465" t="str">
        <f>HYPERLINK("https://finance.naver.com/item/fchart.naver?code=027040", "서울전자통신 차트보기")</f>
        <v>서울전자통신 차트보기</v>
      </c>
    </row>
    <row r="466" spans="1:33" x14ac:dyDescent="0.3">
      <c r="A466" t="s">
        <v>1891</v>
      </c>
      <c r="B466" t="s">
        <v>34</v>
      </c>
      <c r="C466" t="s">
        <v>1892</v>
      </c>
      <c r="D466">
        <v>493311.33</v>
      </c>
      <c r="E466" t="s">
        <v>1893</v>
      </c>
      <c r="F466">
        <v>28.26</v>
      </c>
      <c r="G466">
        <v>1.639999985694885</v>
      </c>
      <c r="H466">
        <v>745</v>
      </c>
      <c r="I466">
        <v>0.70999997854232788</v>
      </c>
      <c r="J466" t="s">
        <v>1894</v>
      </c>
      <c r="K466">
        <v>23800</v>
      </c>
      <c r="L466">
        <v>21050</v>
      </c>
      <c r="M466">
        <v>-11.55</v>
      </c>
      <c r="N466">
        <v>-3.22</v>
      </c>
      <c r="O466">
        <v>3.1</v>
      </c>
      <c r="P466">
        <v>-1.63</v>
      </c>
      <c r="Q466">
        <v>2.5499999999999998</v>
      </c>
      <c r="R466">
        <v>1.9</v>
      </c>
      <c r="S466">
        <v>-9.7799999999999994</v>
      </c>
      <c r="T466">
        <v>2.5299999999999998</v>
      </c>
      <c r="U466">
        <v>1.43</v>
      </c>
      <c r="V466">
        <v>2.62</v>
      </c>
      <c r="W466">
        <v>3.28</v>
      </c>
      <c r="X466">
        <v>2.1</v>
      </c>
      <c r="Y466">
        <v>1.45</v>
      </c>
      <c r="Z466">
        <v>1.27</v>
      </c>
      <c r="AA466">
        <v>2.17</v>
      </c>
      <c r="AB466">
        <v>0.62</v>
      </c>
      <c r="AC466">
        <v>0.78</v>
      </c>
      <c r="AD466">
        <v>0.9</v>
      </c>
      <c r="AE466">
        <v>6.74</v>
      </c>
      <c r="AF466">
        <v>2.08</v>
      </c>
      <c r="AG466" t="str">
        <f>HYPERLINK("https://finance.naver.com/item/fchart.naver?code=323410", "카카오뱅크 차트보기")</f>
        <v>카카오뱅크 차트보기</v>
      </c>
    </row>
    <row r="467" spans="1:33" x14ac:dyDescent="0.3">
      <c r="A467" t="s">
        <v>1895</v>
      </c>
      <c r="B467" t="s">
        <v>55</v>
      </c>
      <c r="C467" t="s">
        <v>1896</v>
      </c>
      <c r="D467">
        <v>1453578.33</v>
      </c>
      <c r="E467" t="s">
        <v>1897</v>
      </c>
      <c r="F467">
        <v>24.15</v>
      </c>
      <c r="G467">
        <v>4.690000057220459</v>
      </c>
      <c r="H467">
        <v>369</v>
      </c>
      <c r="I467">
        <v>0</v>
      </c>
      <c r="J467" t="s">
        <v>1898</v>
      </c>
      <c r="K467">
        <v>11241</v>
      </c>
      <c r="L467">
        <v>8910</v>
      </c>
      <c r="M467">
        <v>-20.74</v>
      </c>
      <c r="N467">
        <v>-12.65</v>
      </c>
      <c r="O467">
        <v>-5.67</v>
      </c>
      <c r="P467">
        <v>0.22</v>
      </c>
      <c r="Q467">
        <v>4.43</v>
      </c>
      <c r="R467">
        <v>-13.66</v>
      </c>
      <c r="S467">
        <v>-12.92</v>
      </c>
      <c r="T467">
        <v>17.010000000000002</v>
      </c>
      <c r="U467">
        <v>3.4</v>
      </c>
      <c r="V467">
        <v>2.14</v>
      </c>
      <c r="W467">
        <v>4.75</v>
      </c>
      <c r="X467">
        <v>3.22</v>
      </c>
      <c r="Y467">
        <v>2.69</v>
      </c>
      <c r="Z467">
        <v>0.74</v>
      </c>
      <c r="AA467">
        <v>1.67</v>
      </c>
      <c r="AB467">
        <v>0.1</v>
      </c>
      <c r="AC467">
        <v>0.93</v>
      </c>
      <c r="AD467">
        <v>4.24</v>
      </c>
      <c r="AE467">
        <v>4.8</v>
      </c>
      <c r="AF467">
        <v>2.08</v>
      </c>
      <c r="AG467" t="str">
        <f>HYPERLINK("https://finance.naver.com/item/fchart.naver?code=437730", "삼현 차트보기")</f>
        <v>삼현 차트보기</v>
      </c>
    </row>
    <row r="468" spans="1:33" x14ac:dyDescent="0.3">
      <c r="A468" t="s">
        <v>1899</v>
      </c>
      <c r="B468" t="s">
        <v>55</v>
      </c>
      <c r="C468" t="s">
        <v>1900</v>
      </c>
      <c r="D468">
        <v>158364.29</v>
      </c>
      <c r="E468" t="s">
        <v>1901</v>
      </c>
      <c r="F468">
        <v>0</v>
      </c>
      <c r="G468">
        <v>72.930000305175781</v>
      </c>
      <c r="H468">
        <v>0</v>
      </c>
      <c r="I468">
        <v>0</v>
      </c>
      <c r="J468" t="s">
        <v>1902</v>
      </c>
      <c r="K468">
        <v>28200</v>
      </c>
      <c r="L468">
        <v>26400</v>
      </c>
      <c r="M468">
        <v>-6.38</v>
      </c>
      <c r="N468">
        <v>-7.21</v>
      </c>
      <c r="O468">
        <v>-11.99</v>
      </c>
      <c r="P468">
        <v>-0.88</v>
      </c>
      <c r="Q468">
        <v>10.14</v>
      </c>
      <c r="R468">
        <v>4.8899999999999997</v>
      </c>
      <c r="S468">
        <v>-3.69</v>
      </c>
      <c r="T468">
        <v>2.83</v>
      </c>
      <c r="U468">
        <v>2.2799999999999998</v>
      </c>
      <c r="V468">
        <v>3.28</v>
      </c>
      <c r="W468">
        <v>4.95</v>
      </c>
      <c r="X468">
        <v>4.3499999999999996</v>
      </c>
      <c r="Y468">
        <v>2.98</v>
      </c>
      <c r="Z468">
        <v>2.5499999999999998</v>
      </c>
      <c r="AA468">
        <v>5.26</v>
      </c>
      <c r="AB468">
        <v>0.27</v>
      </c>
      <c r="AC468">
        <v>2.0499999999999998</v>
      </c>
      <c r="AD468">
        <v>1.1200000000000001</v>
      </c>
      <c r="AE468">
        <v>1.24</v>
      </c>
      <c r="AF468">
        <v>2.081666666666667</v>
      </c>
      <c r="AG468" t="str">
        <f>HYPERLINK("https://finance.naver.com/item/fchart.naver?code=338220", "뷰노 차트보기")</f>
        <v>뷰노 차트보기</v>
      </c>
    </row>
    <row r="469" spans="1:33" x14ac:dyDescent="0.3">
      <c r="A469" t="s">
        <v>1903</v>
      </c>
      <c r="B469" t="s">
        <v>34</v>
      </c>
      <c r="C469" t="s">
        <v>1904</v>
      </c>
      <c r="D469">
        <v>96037.86</v>
      </c>
      <c r="E469" t="s">
        <v>1905</v>
      </c>
      <c r="F469">
        <v>13.95</v>
      </c>
      <c r="G469">
        <v>0.87000000476837158</v>
      </c>
      <c r="H469">
        <v>2907</v>
      </c>
      <c r="I469">
        <v>0</v>
      </c>
      <c r="J469" t="s">
        <v>1906</v>
      </c>
      <c r="K469">
        <v>65200</v>
      </c>
      <c r="L469">
        <v>40550</v>
      </c>
      <c r="M469">
        <v>-37.81</v>
      </c>
      <c r="N469">
        <v>9.59</v>
      </c>
      <c r="O469">
        <v>0.8</v>
      </c>
      <c r="P469">
        <v>8.57</v>
      </c>
      <c r="Q469">
        <v>-18.809999999999999</v>
      </c>
      <c r="R469">
        <v>-14.74</v>
      </c>
      <c r="S469">
        <v>2.9</v>
      </c>
      <c r="T469">
        <v>3</v>
      </c>
      <c r="U469">
        <v>3.62</v>
      </c>
      <c r="V469">
        <v>3.82</v>
      </c>
      <c r="W469">
        <v>6.79</v>
      </c>
      <c r="X469">
        <v>4.2300000000000004</v>
      </c>
      <c r="Y469">
        <v>4.87</v>
      </c>
      <c r="Z469">
        <v>3.2</v>
      </c>
      <c r="AA469">
        <v>0.22</v>
      </c>
      <c r="AB469">
        <v>2.2400000000000002</v>
      </c>
      <c r="AC469">
        <v>2.77</v>
      </c>
      <c r="AD469">
        <v>3.48</v>
      </c>
      <c r="AE469">
        <v>0.6</v>
      </c>
      <c r="AF469">
        <v>2.085</v>
      </c>
      <c r="AG469" t="str">
        <f>HYPERLINK("https://finance.naver.com/item/fchart.naver?code=000500", "가온전선 차트보기")</f>
        <v>가온전선 차트보기</v>
      </c>
    </row>
    <row r="470" spans="1:33" x14ac:dyDescent="0.3">
      <c r="A470" t="s">
        <v>1907</v>
      </c>
      <c r="B470" t="s">
        <v>55</v>
      </c>
      <c r="C470" t="s">
        <v>1908</v>
      </c>
      <c r="D470">
        <v>29320.52</v>
      </c>
      <c r="E470" t="s">
        <v>1909</v>
      </c>
      <c r="F470">
        <v>0</v>
      </c>
      <c r="G470">
        <v>0.34999999403953552</v>
      </c>
      <c r="H470">
        <v>0</v>
      </c>
      <c r="I470">
        <v>0</v>
      </c>
      <c r="J470" t="s">
        <v>1910</v>
      </c>
      <c r="K470">
        <v>2370</v>
      </c>
      <c r="L470">
        <v>2705</v>
      </c>
      <c r="M470">
        <v>14.14</v>
      </c>
      <c r="N470">
        <v>-3.22</v>
      </c>
      <c r="O470">
        <v>0.56000000000000005</v>
      </c>
      <c r="P470">
        <v>-6.7</v>
      </c>
      <c r="Q470">
        <v>10.46</v>
      </c>
      <c r="R470">
        <v>-8.5</v>
      </c>
      <c r="S470">
        <v>-2.33</v>
      </c>
      <c r="T470">
        <v>3.1</v>
      </c>
      <c r="U470">
        <v>1.9</v>
      </c>
      <c r="V470">
        <v>2.0099999999999998</v>
      </c>
      <c r="W470">
        <v>3.94</v>
      </c>
      <c r="X470">
        <v>2</v>
      </c>
      <c r="Y470">
        <v>2.4300000000000002</v>
      </c>
      <c r="Z470">
        <v>1.04</v>
      </c>
      <c r="AA470">
        <v>0.28999999999999998</v>
      </c>
      <c r="AB470">
        <v>3.33</v>
      </c>
      <c r="AC470">
        <v>2.65</v>
      </c>
      <c r="AD470">
        <v>4.25</v>
      </c>
      <c r="AE470">
        <v>0.96</v>
      </c>
      <c r="AF470">
        <v>2.086666666666666</v>
      </c>
      <c r="AG470" t="str">
        <f>HYPERLINK("https://finance.naver.com/item/fchart.naver?code=091340", "S&amp;K폴리텍 차트보기")</f>
        <v>S&amp;K폴리텍 차트보기</v>
      </c>
    </row>
    <row r="471" spans="1:33" x14ac:dyDescent="0.3">
      <c r="A471" t="s">
        <v>1911</v>
      </c>
      <c r="B471" t="s">
        <v>34</v>
      </c>
      <c r="C471" t="s">
        <v>1912</v>
      </c>
      <c r="D471">
        <v>241421.24</v>
      </c>
      <c r="E471" t="s">
        <v>1913</v>
      </c>
      <c r="F471">
        <v>207.35</v>
      </c>
      <c r="G471">
        <v>5.880000114440918</v>
      </c>
      <c r="H471">
        <v>136</v>
      </c>
      <c r="I471">
        <v>0.70999997854232788</v>
      </c>
      <c r="J471" t="s">
        <v>1914</v>
      </c>
      <c r="K471">
        <v>30000</v>
      </c>
      <c r="L471">
        <v>28200</v>
      </c>
      <c r="M471">
        <v>-6</v>
      </c>
      <c r="N471">
        <v>6.82</v>
      </c>
      <c r="O471">
        <v>7.05</v>
      </c>
      <c r="P471">
        <v>0.76</v>
      </c>
      <c r="Q471">
        <v>-3.19</v>
      </c>
      <c r="R471">
        <v>-10.74</v>
      </c>
      <c r="S471">
        <v>-16.34</v>
      </c>
      <c r="T471">
        <v>2.7</v>
      </c>
      <c r="U471">
        <v>3.4</v>
      </c>
      <c r="V471">
        <v>2.87</v>
      </c>
      <c r="W471">
        <v>5.09</v>
      </c>
      <c r="X471">
        <v>4.1399999999999997</v>
      </c>
      <c r="Y471">
        <v>3.68</v>
      </c>
      <c r="Z471">
        <v>2.5299999999999998</v>
      </c>
      <c r="AA471">
        <v>2.0699999999999998</v>
      </c>
      <c r="AB471">
        <v>0.26</v>
      </c>
      <c r="AC471">
        <v>0.63</v>
      </c>
      <c r="AD471">
        <v>2.59</v>
      </c>
      <c r="AE471">
        <v>4.4400000000000004</v>
      </c>
      <c r="AF471">
        <v>2.086666666666666</v>
      </c>
      <c r="AG471" t="str">
        <f>HYPERLINK("https://finance.naver.com/item/fchart.naver?code=229640", "LS에코에너지 차트보기")</f>
        <v>LS에코에너지 차트보기</v>
      </c>
    </row>
    <row r="472" spans="1:33" x14ac:dyDescent="0.3">
      <c r="A472" t="s">
        <v>1915</v>
      </c>
      <c r="B472" t="s">
        <v>55</v>
      </c>
      <c r="C472" t="s">
        <v>1916</v>
      </c>
      <c r="D472">
        <v>371253.33</v>
      </c>
      <c r="E472" t="s">
        <v>1917</v>
      </c>
      <c r="F472">
        <v>15.24</v>
      </c>
      <c r="G472">
        <v>0.88999998569488525</v>
      </c>
      <c r="H472">
        <v>87</v>
      </c>
      <c r="I472">
        <v>4.5199999809265137</v>
      </c>
      <c r="J472" t="s">
        <v>1918</v>
      </c>
      <c r="K472">
        <v>1163</v>
      </c>
      <c r="L472">
        <v>1326</v>
      </c>
      <c r="M472">
        <v>14.02</v>
      </c>
      <c r="N472">
        <v>0.76</v>
      </c>
      <c r="O472">
        <v>1.44</v>
      </c>
      <c r="P472">
        <v>12.48</v>
      </c>
      <c r="Q472">
        <v>0.08</v>
      </c>
      <c r="R472">
        <v>3.26</v>
      </c>
      <c r="S472">
        <v>-5.98</v>
      </c>
      <c r="T472">
        <v>2.1800000000000002</v>
      </c>
      <c r="U472">
        <v>2.35</v>
      </c>
      <c r="V472">
        <v>2.4900000000000002</v>
      </c>
      <c r="W472">
        <v>3.48</v>
      </c>
      <c r="X472">
        <v>1.89</v>
      </c>
      <c r="Y472">
        <v>1.24</v>
      </c>
      <c r="Z472">
        <v>0.35</v>
      </c>
      <c r="AA472">
        <v>0.61</v>
      </c>
      <c r="AB472">
        <v>5.01</v>
      </c>
      <c r="AC472">
        <v>0.02</v>
      </c>
      <c r="AD472">
        <v>1.72</v>
      </c>
      <c r="AE472">
        <v>4.82</v>
      </c>
      <c r="AF472">
        <v>2.0883333333333329</v>
      </c>
      <c r="AG472" t="str">
        <f>HYPERLINK("https://finance.naver.com/item/fchart.naver?code=204610", "티쓰리 차트보기")</f>
        <v>티쓰리 차트보기</v>
      </c>
    </row>
    <row r="473" spans="1:33" x14ac:dyDescent="0.3">
      <c r="A473" t="s">
        <v>1919</v>
      </c>
      <c r="B473" t="s">
        <v>55</v>
      </c>
      <c r="C473" t="s">
        <v>1920</v>
      </c>
      <c r="D473">
        <v>14955.24</v>
      </c>
      <c r="E473" t="s">
        <v>1921</v>
      </c>
      <c r="F473">
        <v>3.14</v>
      </c>
      <c r="G473">
        <v>0.44999998807907099</v>
      </c>
      <c r="H473">
        <v>5975</v>
      </c>
      <c r="I473">
        <v>2.130000114440918</v>
      </c>
      <c r="J473" t="s">
        <v>1922</v>
      </c>
      <c r="K473">
        <v>20350</v>
      </c>
      <c r="L473">
        <v>18740</v>
      </c>
      <c r="M473">
        <v>-7.91</v>
      </c>
      <c r="N473">
        <v>-0.32</v>
      </c>
      <c r="O473">
        <v>-1.78</v>
      </c>
      <c r="P473">
        <v>0.37</v>
      </c>
      <c r="Q473">
        <v>0.05</v>
      </c>
      <c r="R473">
        <v>-7.96</v>
      </c>
      <c r="S473">
        <v>2.99</v>
      </c>
      <c r="T473">
        <v>1.24</v>
      </c>
      <c r="U473">
        <v>1.23</v>
      </c>
      <c r="V473">
        <v>1.27</v>
      </c>
      <c r="W473">
        <v>4.34</v>
      </c>
      <c r="X473">
        <v>0.89</v>
      </c>
      <c r="Y473">
        <v>1.87</v>
      </c>
      <c r="Z473">
        <v>0.26</v>
      </c>
      <c r="AA473">
        <v>1.45</v>
      </c>
      <c r="AB473">
        <v>0.28999999999999998</v>
      </c>
      <c r="AC473">
        <v>0.01</v>
      </c>
      <c r="AD473">
        <v>8.94</v>
      </c>
      <c r="AE473">
        <v>1.6</v>
      </c>
      <c r="AF473">
        <v>2.0916666666666659</v>
      </c>
      <c r="AG473" t="str">
        <f>HYPERLINK("https://finance.naver.com/item/fchart.naver?code=079960", "동양이엔피 차트보기")</f>
        <v>동양이엔피 차트보기</v>
      </c>
    </row>
    <row r="474" spans="1:33" x14ac:dyDescent="0.3">
      <c r="A474" t="s">
        <v>1923</v>
      </c>
      <c r="B474" t="s">
        <v>55</v>
      </c>
      <c r="C474" t="s">
        <v>1924</v>
      </c>
      <c r="D474">
        <v>1520557.1</v>
      </c>
      <c r="E474" t="s">
        <v>1925</v>
      </c>
      <c r="F474">
        <v>0</v>
      </c>
      <c r="G474">
        <v>0.6600000262260437</v>
      </c>
      <c r="H474">
        <v>0</v>
      </c>
      <c r="I474">
        <v>0</v>
      </c>
      <c r="J474" t="s">
        <v>1926</v>
      </c>
      <c r="K474">
        <v>3490</v>
      </c>
      <c r="L474">
        <v>1269</v>
      </c>
      <c r="M474">
        <v>-63.64</v>
      </c>
      <c r="N474">
        <v>-5.16</v>
      </c>
      <c r="O474">
        <v>-3.38</v>
      </c>
      <c r="P474">
        <v>1.5</v>
      </c>
      <c r="Q474">
        <v>-48.07</v>
      </c>
      <c r="R474">
        <v>-9.17</v>
      </c>
      <c r="S474">
        <v>2.86</v>
      </c>
      <c r="T474">
        <v>3.61</v>
      </c>
      <c r="U474">
        <v>6.21</v>
      </c>
      <c r="V474">
        <v>4.0999999999999996</v>
      </c>
      <c r="W474">
        <v>8.17</v>
      </c>
      <c r="X474">
        <v>2.6</v>
      </c>
      <c r="Y474">
        <v>3.59</v>
      </c>
      <c r="Z474">
        <v>1.43</v>
      </c>
      <c r="AA474">
        <v>0.54</v>
      </c>
      <c r="AB474">
        <v>0.37</v>
      </c>
      <c r="AC474">
        <v>5.88</v>
      </c>
      <c r="AD474">
        <v>3.53</v>
      </c>
      <c r="AE474">
        <v>0.8</v>
      </c>
      <c r="AF474">
        <v>2.0916666666666659</v>
      </c>
      <c r="AG474" t="str">
        <f>HYPERLINK("https://finance.naver.com/item/fchart.naver?code=064800", "포니링크 차트보기")</f>
        <v>포니링크 차트보기</v>
      </c>
    </row>
    <row r="475" spans="1:33" x14ac:dyDescent="0.3">
      <c r="A475" t="s">
        <v>1927</v>
      </c>
      <c r="B475" t="s">
        <v>55</v>
      </c>
      <c r="C475" t="s">
        <v>1928</v>
      </c>
      <c r="D475">
        <v>47532.62</v>
      </c>
      <c r="E475" t="s">
        <v>1929</v>
      </c>
      <c r="F475">
        <v>21.72</v>
      </c>
      <c r="G475">
        <v>2.4800000190734859</v>
      </c>
      <c r="H475">
        <v>1229</v>
      </c>
      <c r="I475">
        <v>0.75</v>
      </c>
      <c r="J475" t="s">
        <v>1930</v>
      </c>
      <c r="K475">
        <v>28200</v>
      </c>
      <c r="L475">
        <v>26700</v>
      </c>
      <c r="M475">
        <v>-5.32</v>
      </c>
      <c r="N475">
        <v>6.8</v>
      </c>
      <c r="O475">
        <v>-12.2</v>
      </c>
      <c r="P475">
        <v>1.94</v>
      </c>
      <c r="Q475">
        <v>-12.67</v>
      </c>
      <c r="R475">
        <v>-6.23</v>
      </c>
      <c r="S475">
        <v>-0.72</v>
      </c>
      <c r="T475">
        <v>3.31</v>
      </c>
      <c r="U475">
        <v>1.79</v>
      </c>
      <c r="V475">
        <v>3.84</v>
      </c>
      <c r="W475">
        <v>6.16</v>
      </c>
      <c r="X475">
        <v>6.22</v>
      </c>
      <c r="Y475">
        <v>6.5</v>
      </c>
      <c r="Z475">
        <v>2.0499999999999998</v>
      </c>
      <c r="AA475">
        <v>6.82</v>
      </c>
      <c r="AB475">
        <v>0.51</v>
      </c>
      <c r="AC475">
        <v>2.06</v>
      </c>
      <c r="AD475">
        <v>1</v>
      </c>
      <c r="AE475">
        <v>0.11</v>
      </c>
      <c r="AF475">
        <v>2.0916666666666668</v>
      </c>
      <c r="AG475" t="str">
        <f>HYPERLINK("https://finance.naver.com/item/fchart.naver?code=416180", "신성에스티 차트보기")</f>
        <v>신성에스티 차트보기</v>
      </c>
    </row>
    <row r="476" spans="1:33" x14ac:dyDescent="0.3">
      <c r="A476" t="s">
        <v>1931</v>
      </c>
      <c r="B476" t="s">
        <v>55</v>
      </c>
      <c r="C476" t="s">
        <v>1932</v>
      </c>
      <c r="D476">
        <v>107122.62</v>
      </c>
      <c r="E476" t="s">
        <v>1933</v>
      </c>
      <c r="F476">
        <v>24.6</v>
      </c>
      <c r="G476">
        <v>4.809999942779541</v>
      </c>
      <c r="H476">
        <v>783</v>
      </c>
      <c r="I476">
        <v>0</v>
      </c>
      <c r="J476" t="s">
        <v>1934</v>
      </c>
      <c r="K476">
        <v>16230</v>
      </c>
      <c r="L476">
        <v>19260</v>
      </c>
      <c r="M476">
        <v>18.670000000000002</v>
      </c>
      <c r="N476">
        <v>3.6</v>
      </c>
      <c r="O476">
        <v>17.850000000000001</v>
      </c>
      <c r="P476">
        <v>-2</v>
      </c>
      <c r="Q476">
        <v>7.8</v>
      </c>
      <c r="R476">
        <v>1.8</v>
      </c>
      <c r="S476">
        <v>-2.69</v>
      </c>
      <c r="T476">
        <v>3.98</v>
      </c>
      <c r="U476">
        <v>3.58</v>
      </c>
      <c r="V476">
        <v>2.04</v>
      </c>
      <c r="W476">
        <v>2.64</v>
      </c>
      <c r="X476">
        <v>1.7</v>
      </c>
      <c r="Y476">
        <v>1.6</v>
      </c>
      <c r="Z476">
        <v>0.9</v>
      </c>
      <c r="AA476">
        <v>4.99</v>
      </c>
      <c r="AB476">
        <v>0.98</v>
      </c>
      <c r="AC476">
        <v>2.95</v>
      </c>
      <c r="AD476">
        <v>1.06</v>
      </c>
      <c r="AE476">
        <v>1.68</v>
      </c>
      <c r="AF476">
        <v>2.0933333333333328</v>
      </c>
      <c r="AG476" t="str">
        <f>HYPERLINK("https://finance.naver.com/item/fchart.naver?code=216080", "제테마 차트보기")</f>
        <v>제테마 차트보기</v>
      </c>
    </row>
    <row r="477" spans="1:33" x14ac:dyDescent="0.3">
      <c r="A477" t="s">
        <v>1935</v>
      </c>
      <c r="B477" t="s">
        <v>55</v>
      </c>
      <c r="C477" t="s">
        <v>1936</v>
      </c>
      <c r="D477">
        <v>152271.1</v>
      </c>
      <c r="E477" t="s">
        <v>1937</v>
      </c>
      <c r="F477">
        <v>16.79</v>
      </c>
      <c r="G477">
        <v>1.120000004768372</v>
      </c>
      <c r="H477">
        <v>871</v>
      </c>
      <c r="I477">
        <v>2.0499999523162842</v>
      </c>
      <c r="J477" t="s">
        <v>1938</v>
      </c>
      <c r="K477">
        <v>16610</v>
      </c>
      <c r="L477">
        <v>14620</v>
      </c>
      <c r="M477">
        <v>-11.98</v>
      </c>
      <c r="N477">
        <v>-4.88</v>
      </c>
      <c r="O477">
        <v>0.25</v>
      </c>
      <c r="P477">
        <v>-14.07</v>
      </c>
      <c r="Q477">
        <v>16.18</v>
      </c>
      <c r="R477">
        <v>-4.08</v>
      </c>
      <c r="S477">
        <v>-9.6300000000000008</v>
      </c>
      <c r="T477">
        <v>2.97</v>
      </c>
      <c r="U477">
        <v>2.0699999999999998</v>
      </c>
      <c r="V477">
        <v>3.49</v>
      </c>
      <c r="W477">
        <v>7.33</v>
      </c>
      <c r="X477">
        <v>3.45</v>
      </c>
      <c r="Y477">
        <v>2.85</v>
      </c>
      <c r="Z477">
        <v>1.64</v>
      </c>
      <c r="AA477">
        <v>0.12</v>
      </c>
      <c r="AB477">
        <v>4.03</v>
      </c>
      <c r="AC477">
        <v>2.21</v>
      </c>
      <c r="AD477">
        <v>1.18</v>
      </c>
      <c r="AE477">
        <v>3.38</v>
      </c>
      <c r="AF477">
        <v>2.0933333333333328</v>
      </c>
      <c r="AG477" t="str">
        <f>HYPERLINK("https://finance.naver.com/item/fchart.naver?code=053080", "케이엔솔 차트보기")</f>
        <v>케이엔솔 차트보기</v>
      </c>
    </row>
    <row r="478" spans="1:33" x14ac:dyDescent="0.3">
      <c r="A478" t="s">
        <v>1939</v>
      </c>
      <c r="B478" t="s">
        <v>55</v>
      </c>
      <c r="C478" t="s">
        <v>1940</v>
      </c>
      <c r="D478">
        <v>13097.24</v>
      </c>
      <c r="E478" t="s">
        <v>1941</v>
      </c>
      <c r="F478">
        <v>20.98</v>
      </c>
      <c r="G478">
        <v>0.50999999046325684</v>
      </c>
      <c r="H478">
        <v>684</v>
      </c>
      <c r="I478">
        <v>1.049999952316284</v>
      </c>
      <c r="J478" t="s">
        <v>1942</v>
      </c>
      <c r="K478">
        <v>19500</v>
      </c>
      <c r="L478">
        <v>14350</v>
      </c>
      <c r="M478">
        <v>-26.41</v>
      </c>
      <c r="N478">
        <v>0.63</v>
      </c>
      <c r="O478">
        <v>-1.1499999999999999</v>
      </c>
      <c r="P478">
        <v>-3.89</v>
      </c>
      <c r="Q478">
        <v>17.16</v>
      </c>
      <c r="R478">
        <v>-4.97</v>
      </c>
      <c r="S478">
        <v>-6.91</v>
      </c>
      <c r="T478">
        <v>1</v>
      </c>
      <c r="U478">
        <v>1.67</v>
      </c>
      <c r="V478">
        <v>2.76</v>
      </c>
      <c r="W478">
        <v>3.98</v>
      </c>
      <c r="X478">
        <v>2.57</v>
      </c>
      <c r="Y478">
        <v>1.92</v>
      </c>
      <c r="Z478">
        <v>0.63</v>
      </c>
      <c r="AA478">
        <v>0.69</v>
      </c>
      <c r="AB478">
        <v>1.41</v>
      </c>
      <c r="AC478">
        <v>4.3099999999999996</v>
      </c>
      <c r="AD478">
        <v>1.93</v>
      </c>
      <c r="AE478">
        <v>3.6</v>
      </c>
      <c r="AF478">
        <v>2.0950000000000002</v>
      </c>
      <c r="AG478" t="str">
        <f>HYPERLINK("https://finance.naver.com/item/fchart.naver?code=065680", "우주일렉트로 차트보기")</f>
        <v>우주일렉트로 차트보기</v>
      </c>
    </row>
    <row r="479" spans="1:33" x14ac:dyDescent="0.3">
      <c r="A479" t="s">
        <v>1943</v>
      </c>
      <c r="B479" t="s">
        <v>55</v>
      </c>
      <c r="C479" t="s">
        <v>1944</v>
      </c>
      <c r="D479">
        <v>48775.43</v>
      </c>
      <c r="E479" t="s">
        <v>1945</v>
      </c>
      <c r="F479">
        <v>20.149999999999999</v>
      </c>
      <c r="G479">
        <v>1.370000004768372</v>
      </c>
      <c r="H479">
        <v>330</v>
      </c>
      <c r="I479">
        <v>0.44999998807907099</v>
      </c>
      <c r="J479" t="s">
        <v>1946</v>
      </c>
      <c r="K479">
        <v>8020</v>
      </c>
      <c r="L479">
        <v>6650</v>
      </c>
      <c r="M479">
        <v>-17.079999999999998</v>
      </c>
      <c r="N479">
        <v>4.72</v>
      </c>
      <c r="O479">
        <v>-3.03</v>
      </c>
      <c r="P479">
        <v>0.3</v>
      </c>
      <c r="Q479">
        <v>-8.43</v>
      </c>
      <c r="R479">
        <v>-4.1100000000000003</v>
      </c>
      <c r="S479">
        <v>-5.36</v>
      </c>
      <c r="T479">
        <v>2.35</v>
      </c>
      <c r="U479">
        <v>1.31</v>
      </c>
      <c r="V479">
        <v>1.67</v>
      </c>
      <c r="W479">
        <v>4.34</v>
      </c>
      <c r="X479">
        <v>1.67</v>
      </c>
      <c r="Y479">
        <v>1.46</v>
      </c>
      <c r="Z479">
        <v>2.0099999999999998</v>
      </c>
      <c r="AA479">
        <v>2.31</v>
      </c>
      <c r="AB479">
        <v>0.18</v>
      </c>
      <c r="AC479">
        <v>1.94</v>
      </c>
      <c r="AD479">
        <v>2.46</v>
      </c>
      <c r="AE479">
        <v>3.67</v>
      </c>
      <c r="AF479">
        <v>2.0950000000000002</v>
      </c>
      <c r="AG479" t="str">
        <f>HYPERLINK("https://finance.naver.com/item/fchart.naver?code=094940", "푸른기술 차트보기")</f>
        <v>푸른기술 차트보기</v>
      </c>
    </row>
    <row r="480" spans="1:33" x14ac:dyDescent="0.3">
      <c r="A480" t="s">
        <v>1947</v>
      </c>
      <c r="B480" t="s">
        <v>55</v>
      </c>
      <c r="C480" t="s">
        <v>1948</v>
      </c>
      <c r="D480">
        <v>57974.14</v>
      </c>
      <c r="E480" t="s">
        <v>1949</v>
      </c>
      <c r="F480">
        <v>8.5</v>
      </c>
      <c r="G480">
        <v>0.70999997854232788</v>
      </c>
      <c r="H480">
        <v>847</v>
      </c>
      <c r="I480">
        <v>3.75</v>
      </c>
      <c r="J480" t="s">
        <v>1950</v>
      </c>
      <c r="K480">
        <v>8130</v>
      </c>
      <c r="L480">
        <v>7200</v>
      </c>
      <c r="M480">
        <v>-11.44</v>
      </c>
      <c r="N480">
        <v>-5.51</v>
      </c>
      <c r="O480">
        <v>15.85</v>
      </c>
      <c r="P480">
        <v>-0.92</v>
      </c>
      <c r="Q480">
        <v>-8.58</v>
      </c>
      <c r="R480">
        <v>-5.91</v>
      </c>
      <c r="S480">
        <v>-2.82</v>
      </c>
      <c r="T480">
        <v>2.2400000000000002</v>
      </c>
      <c r="U480">
        <v>3.23</v>
      </c>
      <c r="V480">
        <v>2.87</v>
      </c>
      <c r="W480">
        <v>3.83</v>
      </c>
      <c r="X480">
        <v>3.76</v>
      </c>
      <c r="Y480">
        <v>2.63</v>
      </c>
      <c r="Z480">
        <v>2.46</v>
      </c>
      <c r="AA480">
        <v>4.91</v>
      </c>
      <c r="AB480">
        <v>0.32</v>
      </c>
      <c r="AC480">
        <v>2.2400000000000002</v>
      </c>
      <c r="AD480">
        <v>1.57</v>
      </c>
      <c r="AE480">
        <v>1.07</v>
      </c>
      <c r="AF480">
        <v>2.0950000000000002</v>
      </c>
      <c r="AG480" t="str">
        <f>HYPERLINK("https://finance.naver.com/item/fchart.naver?code=010470", "오리콤 차트보기")</f>
        <v>오리콤 차트보기</v>
      </c>
    </row>
    <row r="481" spans="1:33" x14ac:dyDescent="0.3">
      <c r="A481" t="s">
        <v>1951</v>
      </c>
      <c r="B481" t="s">
        <v>55</v>
      </c>
      <c r="C481" t="s">
        <v>1952</v>
      </c>
      <c r="D481">
        <v>81025.240000000005</v>
      </c>
      <c r="E481" t="s">
        <v>1953</v>
      </c>
      <c r="F481">
        <v>11.25</v>
      </c>
      <c r="G481">
        <v>0.8399999737739563</v>
      </c>
      <c r="H481">
        <v>192</v>
      </c>
      <c r="I481">
        <v>4.630000114440918</v>
      </c>
      <c r="J481" t="s">
        <v>1954</v>
      </c>
      <c r="K481">
        <v>2925</v>
      </c>
      <c r="L481">
        <v>2160</v>
      </c>
      <c r="M481">
        <v>-26.15</v>
      </c>
      <c r="N481">
        <v>-4.6399999999999997</v>
      </c>
      <c r="O481">
        <v>-2.35</v>
      </c>
      <c r="P481">
        <v>-2.2799999999999998</v>
      </c>
      <c r="Q481">
        <v>-2.21</v>
      </c>
      <c r="R481">
        <v>-5.77</v>
      </c>
      <c r="S481">
        <v>-0.56999999999999995</v>
      </c>
      <c r="T481">
        <v>1.2</v>
      </c>
      <c r="U481">
        <v>0.83</v>
      </c>
      <c r="V481">
        <v>2.25</v>
      </c>
      <c r="W481">
        <v>3.51</v>
      </c>
      <c r="X481">
        <v>1.48</v>
      </c>
      <c r="Y481">
        <v>1.68</v>
      </c>
      <c r="Z481">
        <v>3.87</v>
      </c>
      <c r="AA481">
        <v>2.83</v>
      </c>
      <c r="AB481">
        <v>1.01</v>
      </c>
      <c r="AC481">
        <v>0.63</v>
      </c>
      <c r="AD481">
        <v>3.9</v>
      </c>
      <c r="AE481">
        <v>0.34</v>
      </c>
      <c r="AF481">
        <v>2.0966666666666671</v>
      </c>
      <c r="AG481" t="str">
        <f>HYPERLINK("https://finance.naver.com/item/fchart.naver?code=189690", "포시에스 차트보기")</f>
        <v>포시에스 차트보기</v>
      </c>
    </row>
    <row r="482" spans="1:33" x14ac:dyDescent="0.3">
      <c r="A482" t="s">
        <v>1955</v>
      </c>
      <c r="B482" t="s">
        <v>34</v>
      </c>
      <c r="C482" t="s">
        <v>1956</v>
      </c>
      <c r="D482">
        <v>1340135.95</v>
      </c>
      <c r="E482" t="s">
        <v>1957</v>
      </c>
      <c r="F482">
        <v>8.01</v>
      </c>
      <c r="G482">
        <v>0.62000000476837158</v>
      </c>
      <c r="H482">
        <v>11580</v>
      </c>
      <c r="I482">
        <v>3.2999999523162842</v>
      </c>
      <c r="J482" t="s">
        <v>1958</v>
      </c>
      <c r="K482">
        <v>81000</v>
      </c>
      <c r="L482">
        <v>92700</v>
      </c>
      <c r="M482">
        <v>14.44</v>
      </c>
      <c r="N482">
        <v>0.98</v>
      </c>
      <c r="O482">
        <v>11.07</v>
      </c>
      <c r="P482">
        <v>-7.75</v>
      </c>
      <c r="Q482">
        <v>-2.72</v>
      </c>
      <c r="R482">
        <v>10.43</v>
      </c>
      <c r="S482">
        <v>-1.01</v>
      </c>
      <c r="T482">
        <v>1.6</v>
      </c>
      <c r="U482">
        <v>3.23</v>
      </c>
      <c r="V482">
        <v>3.09</v>
      </c>
      <c r="W482">
        <v>2.88</v>
      </c>
      <c r="X482">
        <v>2.2999999999999998</v>
      </c>
      <c r="Y482">
        <v>1.75</v>
      </c>
      <c r="Z482">
        <v>0.61</v>
      </c>
      <c r="AA482">
        <v>3.43</v>
      </c>
      <c r="AB482">
        <v>2.5099999999999998</v>
      </c>
      <c r="AC482">
        <v>0.94</v>
      </c>
      <c r="AD482">
        <v>4.53</v>
      </c>
      <c r="AE482">
        <v>0.57999999999999996</v>
      </c>
      <c r="AF482">
        <v>2.1</v>
      </c>
      <c r="AG482" t="str">
        <f>HYPERLINK("https://finance.naver.com/item/fchart.naver?code=105560", "KB금융 차트보기")</f>
        <v>KB금융 차트보기</v>
      </c>
    </row>
    <row r="483" spans="1:33" x14ac:dyDescent="0.3">
      <c r="A483" t="s">
        <v>1959</v>
      </c>
      <c r="B483" t="s">
        <v>34</v>
      </c>
      <c r="C483" t="s">
        <v>1960</v>
      </c>
      <c r="D483">
        <v>94778.95</v>
      </c>
      <c r="E483" t="s">
        <v>1961</v>
      </c>
      <c r="F483">
        <v>9.57</v>
      </c>
      <c r="G483">
        <v>0.37000000476837158</v>
      </c>
      <c r="H483">
        <v>299</v>
      </c>
      <c r="I483">
        <v>6.2899999618530273</v>
      </c>
      <c r="J483" t="s">
        <v>1962</v>
      </c>
      <c r="K483">
        <v>2805</v>
      </c>
      <c r="L483">
        <v>2860</v>
      </c>
      <c r="M483">
        <v>1.96</v>
      </c>
      <c r="N483">
        <v>-0.35</v>
      </c>
      <c r="O483">
        <v>-1.21</v>
      </c>
      <c r="P483">
        <v>-2.02</v>
      </c>
      <c r="Q483">
        <v>-1.65</v>
      </c>
      <c r="R483">
        <v>3.8</v>
      </c>
      <c r="S483">
        <v>5.66</v>
      </c>
      <c r="T483">
        <v>0.95</v>
      </c>
      <c r="U483">
        <v>0.44</v>
      </c>
      <c r="V483">
        <v>1.0900000000000001</v>
      </c>
      <c r="W483">
        <v>2.2799999999999998</v>
      </c>
      <c r="X483">
        <v>1.3</v>
      </c>
      <c r="Y483">
        <v>1.42</v>
      </c>
      <c r="Z483">
        <v>0.37</v>
      </c>
      <c r="AA483">
        <v>2.75</v>
      </c>
      <c r="AB483">
        <v>1.85</v>
      </c>
      <c r="AC483">
        <v>0.72</v>
      </c>
      <c r="AD483">
        <v>2.92</v>
      </c>
      <c r="AE483">
        <v>3.99</v>
      </c>
      <c r="AF483">
        <v>2.1</v>
      </c>
      <c r="AG483" t="str">
        <f>HYPERLINK("https://finance.naver.com/item/fchart.naver?code=003470", "유안타증권 차트보기")</f>
        <v>유안타증권 차트보기</v>
      </c>
    </row>
    <row r="484" spans="1:33" x14ac:dyDescent="0.3">
      <c r="A484" t="s">
        <v>1963</v>
      </c>
      <c r="B484" t="s">
        <v>55</v>
      </c>
      <c r="C484" t="s">
        <v>1964</v>
      </c>
      <c r="D484">
        <v>324717.52</v>
      </c>
      <c r="E484" t="s">
        <v>1965</v>
      </c>
      <c r="F484">
        <v>0</v>
      </c>
      <c r="G484">
        <v>0.75999999046325684</v>
      </c>
      <c r="H484">
        <v>0</v>
      </c>
      <c r="I484">
        <v>0</v>
      </c>
      <c r="J484" t="s">
        <v>1966</v>
      </c>
      <c r="K484">
        <v>644</v>
      </c>
      <c r="L484">
        <v>523</v>
      </c>
      <c r="M484">
        <v>-18.79</v>
      </c>
      <c r="N484">
        <v>-4.04</v>
      </c>
      <c r="O484">
        <v>-0.89</v>
      </c>
      <c r="P484">
        <v>-2.1</v>
      </c>
      <c r="Q484">
        <v>-3.27</v>
      </c>
      <c r="R484">
        <v>-7.42</v>
      </c>
      <c r="S484">
        <v>-2.33</v>
      </c>
      <c r="T484">
        <v>1.46</v>
      </c>
      <c r="U484">
        <v>1.29</v>
      </c>
      <c r="V484">
        <v>2.2200000000000002</v>
      </c>
      <c r="W484">
        <v>3.93</v>
      </c>
      <c r="X484">
        <v>1.33</v>
      </c>
      <c r="Y484">
        <v>1.3</v>
      </c>
      <c r="Z484">
        <v>2.77</v>
      </c>
      <c r="AA484">
        <v>0.69</v>
      </c>
      <c r="AB484">
        <v>0.95</v>
      </c>
      <c r="AC484">
        <v>0.83</v>
      </c>
      <c r="AD484">
        <v>5.58</v>
      </c>
      <c r="AE484">
        <v>1.79</v>
      </c>
      <c r="AF484">
        <v>2.101666666666667</v>
      </c>
      <c r="AG484" t="str">
        <f>HYPERLINK("https://finance.naver.com/item/fchart.naver?code=043200", "파루 차트보기")</f>
        <v>파루 차트보기</v>
      </c>
    </row>
    <row r="485" spans="1:33" x14ac:dyDescent="0.3">
      <c r="A485" t="s">
        <v>1967</v>
      </c>
      <c r="B485" t="s">
        <v>34</v>
      </c>
      <c r="C485" t="s">
        <v>1968</v>
      </c>
      <c r="D485">
        <v>824.9</v>
      </c>
      <c r="E485" t="s">
        <v>1969</v>
      </c>
      <c r="F485">
        <v>0</v>
      </c>
      <c r="G485">
        <v>0</v>
      </c>
      <c r="H485">
        <v>0</v>
      </c>
      <c r="I485">
        <v>0</v>
      </c>
      <c r="J485" t="s">
        <v>1970</v>
      </c>
      <c r="K485">
        <v>19800</v>
      </c>
      <c r="L485">
        <v>17000</v>
      </c>
      <c r="M485">
        <v>-14.14</v>
      </c>
      <c r="N485">
        <v>0.12</v>
      </c>
      <c r="O485">
        <v>-0.28000000000000003</v>
      </c>
      <c r="P485">
        <v>-2.89</v>
      </c>
      <c r="Q485">
        <v>-2.21</v>
      </c>
      <c r="R485">
        <v>1.06</v>
      </c>
      <c r="S485">
        <v>-4.99</v>
      </c>
      <c r="T485">
        <v>1.98</v>
      </c>
      <c r="U485">
        <v>1.1599999999999999</v>
      </c>
      <c r="V485">
        <v>1.32</v>
      </c>
      <c r="W485">
        <v>2.23</v>
      </c>
      <c r="X485">
        <v>0.98</v>
      </c>
      <c r="Y485">
        <v>0.62</v>
      </c>
      <c r="Z485">
        <v>0.06</v>
      </c>
      <c r="AA485">
        <v>0.24</v>
      </c>
      <c r="AB485">
        <v>2.19</v>
      </c>
      <c r="AC485">
        <v>0.99</v>
      </c>
      <c r="AD485">
        <v>1.08</v>
      </c>
      <c r="AE485">
        <v>8.0500000000000007</v>
      </c>
      <c r="AF485">
        <v>2.101666666666667</v>
      </c>
      <c r="AG485" t="str">
        <f>HYPERLINK("https://finance.naver.com/item/fchart.naver?code=008355", "남선알미우 차트보기")</f>
        <v>남선알미우 차트보기</v>
      </c>
    </row>
    <row r="486" spans="1:33" x14ac:dyDescent="0.3">
      <c r="A486" t="s">
        <v>1971</v>
      </c>
      <c r="B486" t="s">
        <v>34</v>
      </c>
      <c r="C486" t="s">
        <v>1972</v>
      </c>
      <c r="D486">
        <v>1986.95</v>
      </c>
      <c r="E486" t="s">
        <v>1973</v>
      </c>
      <c r="F486">
        <v>4.2300000000000004</v>
      </c>
      <c r="G486">
        <v>0.25999999046325678</v>
      </c>
      <c r="H486">
        <v>3577</v>
      </c>
      <c r="I486">
        <v>3.2999999523162842</v>
      </c>
      <c r="J486" t="s">
        <v>1974</v>
      </c>
      <c r="K486">
        <v>18400</v>
      </c>
      <c r="L486">
        <v>15130</v>
      </c>
      <c r="M486">
        <v>-17.77</v>
      </c>
      <c r="N486">
        <v>-1.75</v>
      </c>
      <c r="O486">
        <v>-2.76</v>
      </c>
      <c r="P486">
        <v>1.44</v>
      </c>
      <c r="Q486">
        <v>-0.49</v>
      </c>
      <c r="R486">
        <v>-4.01</v>
      </c>
      <c r="S486">
        <v>-1.88</v>
      </c>
      <c r="T486">
        <v>0.88</v>
      </c>
      <c r="U486">
        <v>1.43</v>
      </c>
      <c r="V486">
        <v>1.1200000000000001</v>
      </c>
      <c r="W486">
        <v>2.35</v>
      </c>
      <c r="X486">
        <v>0.67</v>
      </c>
      <c r="Y486">
        <v>1.56</v>
      </c>
      <c r="Z486">
        <v>1.99</v>
      </c>
      <c r="AA486">
        <v>1.93</v>
      </c>
      <c r="AB486">
        <v>1.29</v>
      </c>
      <c r="AC486">
        <v>0.21</v>
      </c>
      <c r="AD486">
        <v>5.99</v>
      </c>
      <c r="AE486">
        <v>1.21</v>
      </c>
      <c r="AF486">
        <v>2.1033333333333331</v>
      </c>
      <c r="AG486" t="str">
        <f>HYPERLINK("https://finance.naver.com/item/fchart.naver?code=005820", "원림 차트보기")</f>
        <v>원림 차트보기</v>
      </c>
    </row>
    <row r="487" spans="1:33" x14ac:dyDescent="0.3">
      <c r="A487" t="s">
        <v>1975</v>
      </c>
      <c r="B487" t="s">
        <v>55</v>
      </c>
      <c r="C487" t="s">
        <v>1976</v>
      </c>
      <c r="D487">
        <v>97595.9</v>
      </c>
      <c r="E487" t="s">
        <v>1977</v>
      </c>
      <c r="F487">
        <v>9.49</v>
      </c>
      <c r="G487">
        <v>0.5</v>
      </c>
      <c r="H487">
        <v>630</v>
      </c>
      <c r="I487">
        <v>0.8399999737739563</v>
      </c>
      <c r="J487" t="s">
        <v>1978</v>
      </c>
      <c r="K487">
        <v>8990</v>
      </c>
      <c r="L487">
        <v>5980</v>
      </c>
      <c r="M487">
        <v>-33.479999999999997</v>
      </c>
      <c r="N487">
        <v>-0.17</v>
      </c>
      <c r="O487">
        <v>-3.49</v>
      </c>
      <c r="P487">
        <v>-1.81</v>
      </c>
      <c r="Q487">
        <v>-9.3800000000000008</v>
      </c>
      <c r="R487">
        <v>-7.46</v>
      </c>
      <c r="S487">
        <v>-7.2</v>
      </c>
      <c r="T487">
        <v>1.34</v>
      </c>
      <c r="U487">
        <v>2.13</v>
      </c>
      <c r="V487">
        <v>2.44</v>
      </c>
      <c r="W487">
        <v>3.92</v>
      </c>
      <c r="X487">
        <v>1.5</v>
      </c>
      <c r="Y487">
        <v>2.62</v>
      </c>
      <c r="Z487">
        <v>0.13</v>
      </c>
      <c r="AA487">
        <v>1.64</v>
      </c>
      <c r="AB487">
        <v>0.74</v>
      </c>
      <c r="AC487">
        <v>2.39</v>
      </c>
      <c r="AD487">
        <v>4.97</v>
      </c>
      <c r="AE487">
        <v>2.75</v>
      </c>
      <c r="AF487">
        <v>2.1033333333333331</v>
      </c>
      <c r="AG487" t="str">
        <f>HYPERLINK("https://finance.naver.com/item/fchart.naver?code=314140", "알피바이오 차트보기")</f>
        <v>알피바이오 차트보기</v>
      </c>
    </row>
    <row r="488" spans="1:33" x14ac:dyDescent="0.3">
      <c r="A488" t="s">
        <v>1979</v>
      </c>
      <c r="B488" t="s">
        <v>55</v>
      </c>
      <c r="C488" t="s">
        <v>1980</v>
      </c>
      <c r="D488">
        <v>107342.33</v>
      </c>
      <c r="E488" t="s">
        <v>1981</v>
      </c>
      <c r="F488">
        <v>17.5</v>
      </c>
      <c r="G488">
        <v>1.629999995231628</v>
      </c>
      <c r="H488">
        <v>122</v>
      </c>
      <c r="I488">
        <v>0.93999999761581421</v>
      </c>
      <c r="J488" t="s">
        <v>1982</v>
      </c>
      <c r="K488">
        <v>2730</v>
      </c>
      <c r="L488">
        <v>2135</v>
      </c>
      <c r="M488">
        <v>-21.79</v>
      </c>
      <c r="N488">
        <v>-2.5099999999999998</v>
      </c>
      <c r="O488">
        <v>-3.12</v>
      </c>
      <c r="P488">
        <v>-2.36</v>
      </c>
      <c r="Q488">
        <v>-3.84</v>
      </c>
      <c r="R488">
        <v>-4.57</v>
      </c>
      <c r="S488">
        <v>-7.61</v>
      </c>
      <c r="T488">
        <v>0.85</v>
      </c>
      <c r="U488">
        <v>1.6</v>
      </c>
      <c r="V488">
        <v>2.09</v>
      </c>
      <c r="W488">
        <v>4.7300000000000004</v>
      </c>
      <c r="X488">
        <v>2.08</v>
      </c>
      <c r="Y488">
        <v>2.1</v>
      </c>
      <c r="Z488">
        <v>2.95</v>
      </c>
      <c r="AA488">
        <v>1.95</v>
      </c>
      <c r="AB488">
        <v>1.1299999999999999</v>
      </c>
      <c r="AC488">
        <v>0.81</v>
      </c>
      <c r="AD488">
        <v>2.2000000000000002</v>
      </c>
      <c r="AE488">
        <v>3.62</v>
      </c>
      <c r="AF488">
        <v>2.11</v>
      </c>
      <c r="AG488" t="str">
        <f>HYPERLINK("https://finance.naver.com/item/fchart.naver?code=321260", "프로이천 차트보기")</f>
        <v>프로이천 차트보기</v>
      </c>
    </row>
    <row r="489" spans="1:33" x14ac:dyDescent="0.3">
      <c r="A489" t="s">
        <v>1983</v>
      </c>
      <c r="B489" t="s">
        <v>34</v>
      </c>
      <c r="C489" t="s">
        <v>1984</v>
      </c>
      <c r="D489">
        <v>1571.86</v>
      </c>
      <c r="E489" t="s">
        <v>1985</v>
      </c>
      <c r="F489">
        <v>0</v>
      </c>
      <c r="G489">
        <v>0.56000000238418579</v>
      </c>
      <c r="H489">
        <v>0</v>
      </c>
      <c r="I489">
        <v>2.3900001049041748</v>
      </c>
      <c r="J489" t="s">
        <v>1986</v>
      </c>
      <c r="K489">
        <v>62300</v>
      </c>
      <c r="L489">
        <v>54400</v>
      </c>
      <c r="M489">
        <v>-12.68</v>
      </c>
      <c r="N489">
        <v>-1.63</v>
      </c>
      <c r="O489">
        <v>-4.95</v>
      </c>
      <c r="P489">
        <v>2.04</v>
      </c>
      <c r="Q489">
        <v>-5.65</v>
      </c>
      <c r="R489">
        <v>1.1399999999999999</v>
      </c>
      <c r="S489">
        <v>-3.93</v>
      </c>
      <c r="T489">
        <v>1.2</v>
      </c>
      <c r="U489">
        <v>1.07</v>
      </c>
      <c r="V489">
        <v>1.6</v>
      </c>
      <c r="W489">
        <v>2.5499999999999998</v>
      </c>
      <c r="X489">
        <v>1.1000000000000001</v>
      </c>
      <c r="Y489">
        <v>1.84</v>
      </c>
      <c r="Z489">
        <v>1.36</v>
      </c>
      <c r="AA489">
        <v>4.63</v>
      </c>
      <c r="AB489">
        <v>1.27</v>
      </c>
      <c r="AC489">
        <v>2.2200000000000002</v>
      </c>
      <c r="AD489">
        <v>1.04</v>
      </c>
      <c r="AE489">
        <v>2.14</v>
      </c>
      <c r="AF489">
        <v>2.11</v>
      </c>
      <c r="AG489" t="str">
        <f>HYPERLINK("https://finance.naver.com/item/fchart.naver?code=008870", "금비 차트보기")</f>
        <v>금비 차트보기</v>
      </c>
    </row>
    <row r="490" spans="1:33" x14ac:dyDescent="0.3">
      <c r="A490" t="s">
        <v>1987</v>
      </c>
      <c r="B490" t="s">
        <v>34</v>
      </c>
      <c r="C490" t="s">
        <v>1988</v>
      </c>
      <c r="D490">
        <v>8214.52</v>
      </c>
      <c r="E490" t="s">
        <v>1989</v>
      </c>
      <c r="F490">
        <v>6.7</v>
      </c>
      <c r="G490">
        <v>0.33000001311302191</v>
      </c>
      <c r="H490">
        <v>5237</v>
      </c>
      <c r="I490">
        <v>5.6999998092651367</v>
      </c>
      <c r="J490" t="s">
        <v>1990</v>
      </c>
      <c r="K490">
        <v>34300</v>
      </c>
      <c r="L490">
        <v>35100</v>
      </c>
      <c r="M490">
        <v>2.33</v>
      </c>
      <c r="N490">
        <v>-0.14000000000000001</v>
      </c>
      <c r="O490">
        <v>-1.27</v>
      </c>
      <c r="P490">
        <v>2.61</v>
      </c>
      <c r="Q490">
        <v>2.96</v>
      </c>
      <c r="R490">
        <v>-1.47</v>
      </c>
      <c r="S490">
        <v>-2.72</v>
      </c>
      <c r="T490">
        <v>0.9</v>
      </c>
      <c r="U490">
        <v>0.6</v>
      </c>
      <c r="V490">
        <v>1.1299999999999999</v>
      </c>
      <c r="W490">
        <v>1.7</v>
      </c>
      <c r="X490">
        <v>0.46</v>
      </c>
      <c r="Y490">
        <v>0.87</v>
      </c>
      <c r="Z490">
        <v>0.16</v>
      </c>
      <c r="AA490">
        <v>2.12</v>
      </c>
      <c r="AB490">
        <v>2.31</v>
      </c>
      <c r="AC490">
        <v>1.74</v>
      </c>
      <c r="AD490">
        <v>3.2</v>
      </c>
      <c r="AE490">
        <v>3.13</v>
      </c>
      <c r="AF490">
        <v>2.11</v>
      </c>
      <c r="AG490" t="str">
        <f>HYPERLINK("https://finance.naver.com/item/fchart.naver?code=060980", "HL홀딩스 차트보기")</f>
        <v>HL홀딩스 차트보기</v>
      </c>
    </row>
    <row r="491" spans="1:33" x14ac:dyDescent="0.3">
      <c r="A491" t="s">
        <v>1991</v>
      </c>
      <c r="B491" t="s">
        <v>55</v>
      </c>
      <c r="C491" t="s">
        <v>1992</v>
      </c>
      <c r="D491">
        <v>42089.52</v>
      </c>
      <c r="E491" t="s">
        <v>1993</v>
      </c>
      <c r="F491">
        <v>26.2</v>
      </c>
      <c r="G491">
        <v>1.629999995231628</v>
      </c>
      <c r="H491">
        <v>769</v>
      </c>
      <c r="I491">
        <v>0.99000000953674316</v>
      </c>
      <c r="J491" t="s">
        <v>1994</v>
      </c>
      <c r="K491">
        <v>24500</v>
      </c>
      <c r="L491">
        <v>20150</v>
      </c>
      <c r="M491">
        <v>-17.760000000000002</v>
      </c>
      <c r="N491">
        <v>-0.74</v>
      </c>
      <c r="O491">
        <v>-7</v>
      </c>
      <c r="P491">
        <v>-2.38</v>
      </c>
      <c r="Q491">
        <v>2.23</v>
      </c>
      <c r="R491">
        <v>-17.309999999999999</v>
      </c>
      <c r="S491">
        <v>0.71</v>
      </c>
      <c r="T491">
        <v>1.73</v>
      </c>
      <c r="U491">
        <v>1.69</v>
      </c>
      <c r="V491">
        <v>2.02</v>
      </c>
      <c r="W491">
        <v>3.54</v>
      </c>
      <c r="X491">
        <v>2.83</v>
      </c>
      <c r="Y491">
        <v>3.94</v>
      </c>
      <c r="Z491">
        <v>0.43</v>
      </c>
      <c r="AA491">
        <v>4.1399999999999997</v>
      </c>
      <c r="AB491">
        <v>1.18</v>
      </c>
      <c r="AC491">
        <v>0.63</v>
      </c>
      <c r="AD491">
        <v>6.12</v>
      </c>
      <c r="AE491">
        <v>0.18</v>
      </c>
      <c r="AF491">
        <v>2.1133333333333328</v>
      </c>
      <c r="AG491" t="str">
        <f>HYPERLINK("https://finance.naver.com/item/fchart.naver?code=089980", "상아프론테크 차트보기")</f>
        <v>상아프론테크 차트보기</v>
      </c>
    </row>
    <row r="492" spans="1:33" x14ac:dyDescent="0.3">
      <c r="A492" t="s">
        <v>1995</v>
      </c>
      <c r="B492" t="s">
        <v>34</v>
      </c>
      <c r="C492" t="s">
        <v>1996</v>
      </c>
      <c r="D492">
        <v>99115.38</v>
      </c>
      <c r="E492" t="s">
        <v>1997</v>
      </c>
      <c r="F492">
        <v>0</v>
      </c>
      <c r="G492">
        <v>0.38999998569488531</v>
      </c>
      <c r="H492">
        <v>0</v>
      </c>
      <c r="I492">
        <v>3.4200000762939449</v>
      </c>
      <c r="J492" t="s">
        <v>1998</v>
      </c>
      <c r="K492">
        <v>163400</v>
      </c>
      <c r="L492">
        <v>146200</v>
      </c>
      <c r="M492">
        <v>-10.53</v>
      </c>
      <c r="N492">
        <v>-1.88</v>
      </c>
      <c r="O492">
        <v>-1.79</v>
      </c>
      <c r="P492">
        <v>7.13</v>
      </c>
      <c r="Q492">
        <v>-4.53</v>
      </c>
      <c r="R492">
        <v>-4.4000000000000004</v>
      </c>
      <c r="S492">
        <v>-11.47</v>
      </c>
      <c r="T492">
        <v>2.27</v>
      </c>
      <c r="U492">
        <v>1.24</v>
      </c>
      <c r="V492">
        <v>2.1800000000000002</v>
      </c>
      <c r="W492">
        <v>2.69</v>
      </c>
      <c r="X492">
        <v>1.68</v>
      </c>
      <c r="Y492">
        <v>4.04</v>
      </c>
      <c r="Z492">
        <v>0.83</v>
      </c>
      <c r="AA492">
        <v>1.44</v>
      </c>
      <c r="AB492">
        <v>3.27</v>
      </c>
      <c r="AC492">
        <v>1.68</v>
      </c>
      <c r="AD492">
        <v>2.62</v>
      </c>
      <c r="AE492">
        <v>2.84</v>
      </c>
      <c r="AF492">
        <v>2.1133333333333328</v>
      </c>
      <c r="AG492" t="str">
        <f>HYPERLINK("https://finance.naver.com/item/fchart.naver?code=034730", "SK 차트보기")</f>
        <v>SK 차트보기</v>
      </c>
    </row>
    <row r="493" spans="1:33" x14ac:dyDescent="0.3">
      <c r="A493" t="s">
        <v>1999</v>
      </c>
      <c r="B493" t="s">
        <v>34</v>
      </c>
      <c r="C493" t="s">
        <v>2000</v>
      </c>
      <c r="D493">
        <v>6906.38</v>
      </c>
      <c r="E493" t="s">
        <v>2001</v>
      </c>
      <c r="F493">
        <v>7.75</v>
      </c>
      <c r="G493">
        <v>0.68999999761581421</v>
      </c>
      <c r="H493">
        <v>1814</v>
      </c>
      <c r="I493">
        <v>4.9800000190734863</v>
      </c>
      <c r="J493" t="s">
        <v>2002</v>
      </c>
      <c r="K493">
        <v>15170</v>
      </c>
      <c r="L493">
        <v>14050</v>
      </c>
      <c r="M493">
        <v>-7.38</v>
      </c>
      <c r="N493">
        <v>3.08</v>
      </c>
      <c r="O493">
        <v>0.51</v>
      </c>
      <c r="P493">
        <v>-4.3099999999999996</v>
      </c>
      <c r="Q493">
        <v>-4.5999999999999996</v>
      </c>
      <c r="R493">
        <v>2.13</v>
      </c>
      <c r="S493">
        <v>-1.53</v>
      </c>
      <c r="T493">
        <v>0.75</v>
      </c>
      <c r="U493">
        <v>1.07</v>
      </c>
      <c r="V493">
        <v>1.43</v>
      </c>
      <c r="W493">
        <v>2.2599999999999998</v>
      </c>
      <c r="X493">
        <v>1.1100000000000001</v>
      </c>
      <c r="Y493">
        <v>1.34</v>
      </c>
      <c r="Z493">
        <v>4.1100000000000003</v>
      </c>
      <c r="AA493">
        <v>0.48</v>
      </c>
      <c r="AB493">
        <v>3.01</v>
      </c>
      <c r="AC493">
        <v>2.04</v>
      </c>
      <c r="AD493">
        <v>1.92</v>
      </c>
      <c r="AE493">
        <v>1.1399999999999999</v>
      </c>
      <c r="AF493">
        <v>2.1166666666666671</v>
      </c>
      <c r="AG493" t="str">
        <f>HYPERLINK("https://finance.naver.com/item/fchart.naver?code=006390", "한일현대시멘트 차트보기")</f>
        <v>한일현대시멘트 차트보기</v>
      </c>
    </row>
    <row r="494" spans="1:33" x14ac:dyDescent="0.3">
      <c r="A494" t="s">
        <v>2003</v>
      </c>
      <c r="B494" t="s">
        <v>55</v>
      </c>
      <c r="C494" t="s">
        <v>2004</v>
      </c>
      <c r="D494">
        <v>268550.33</v>
      </c>
      <c r="E494" t="s">
        <v>2005</v>
      </c>
      <c r="F494">
        <v>2.04</v>
      </c>
      <c r="G494">
        <v>0.33000001311302191</v>
      </c>
      <c r="H494">
        <v>683</v>
      </c>
      <c r="I494">
        <v>3.220000028610229</v>
      </c>
      <c r="J494" t="s">
        <v>2006</v>
      </c>
      <c r="K494">
        <v>1360</v>
      </c>
      <c r="L494">
        <v>1396</v>
      </c>
      <c r="M494">
        <v>2.65</v>
      </c>
      <c r="N494">
        <v>-0.64</v>
      </c>
      <c r="O494">
        <v>-6.85</v>
      </c>
      <c r="P494">
        <v>5.32</v>
      </c>
      <c r="Q494">
        <v>10.01</v>
      </c>
      <c r="R494">
        <v>7.0000000000000007E-2</v>
      </c>
      <c r="S494">
        <v>-1.82</v>
      </c>
      <c r="T494">
        <v>1.08</v>
      </c>
      <c r="U494">
        <v>1.99</v>
      </c>
      <c r="V494">
        <v>1.79</v>
      </c>
      <c r="W494">
        <v>2.4900000000000002</v>
      </c>
      <c r="X494">
        <v>0.7</v>
      </c>
      <c r="Y494">
        <v>1.1499999999999999</v>
      </c>
      <c r="Z494">
        <v>0.59</v>
      </c>
      <c r="AA494">
        <v>3.44</v>
      </c>
      <c r="AB494">
        <v>2.97</v>
      </c>
      <c r="AC494">
        <v>4.0199999999999996</v>
      </c>
      <c r="AD494">
        <v>0.1</v>
      </c>
      <c r="AE494">
        <v>1.58</v>
      </c>
      <c r="AF494">
        <v>2.1166666666666671</v>
      </c>
      <c r="AG494" t="str">
        <f>HYPERLINK("https://finance.naver.com/item/fchart.naver?code=035890", "서희건설 차트보기")</f>
        <v>서희건설 차트보기</v>
      </c>
    </row>
    <row r="495" spans="1:33" x14ac:dyDescent="0.3">
      <c r="A495" t="s">
        <v>2007</v>
      </c>
      <c r="B495" t="s">
        <v>34</v>
      </c>
      <c r="C495" t="s">
        <v>2008</v>
      </c>
      <c r="D495">
        <v>300849.48</v>
      </c>
      <c r="E495" t="s">
        <v>2009</v>
      </c>
      <c r="F495">
        <v>257.70999999999998</v>
      </c>
      <c r="G495">
        <v>2.059999942779541</v>
      </c>
      <c r="H495">
        <v>227</v>
      </c>
      <c r="I495">
        <v>1.029999971389771</v>
      </c>
      <c r="J495" t="s">
        <v>2010</v>
      </c>
      <c r="K495">
        <v>53500</v>
      </c>
      <c r="L495">
        <v>58500</v>
      </c>
      <c r="M495">
        <v>9.35</v>
      </c>
      <c r="N495">
        <v>-13.72</v>
      </c>
      <c r="O495">
        <v>-3.41</v>
      </c>
      <c r="P495">
        <v>9.9</v>
      </c>
      <c r="Q495">
        <v>-1.51</v>
      </c>
      <c r="R495">
        <v>-3.43</v>
      </c>
      <c r="S495">
        <v>8.5399999999999991</v>
      </c>
      <c r="T495">
        <v>3.73</v>
      </c>
      <c r="U495">
        <v>2.63</v>
      </c>
      <c r="V495">
        <v>2.73</v>
      </c>
      <c r="W495">
        <v>4.8499999999999996</v>
      </c>
      <c r="X495">
        <v>3.08</v>
      </c>
      <c r="Y495">
        <v>3.17</v>
      </c>
      <c r="Z495">
        <v>3.68</v>
      </c>
      <c r="AA495">
        <v>1.3</v>
      </c>
      <c r="AB495">
        <v>3.63</v>
      </c>
      <c r="AC495">
        <v>0.31</v>
      </c>
      <c r="AD495">
        <v>1.1100000000000001</v>
      </c>
      <c r="AE495">
        <v>2.69</v>
      </c>
      <c r="AF495">
        <v>2.12</v>
      </c>
      <c r="AG495" t="str">
        <f>HYPERLINK("https://finance.naver.com/item/fchart.naver?code=161890", "한국콜마 차트보기")</f>
        <v>한국콜마 차트보기</v>
      </c>
    </row>
    <row r="496" spans="1:33" x14ac:dyDescent="0.3">
      <c r="A496" t="s">
        <v>2011</v>
      </c>
      <c r="B496" t="s">
        <v>55</v>
      </c>
      <c r="C496" t="s">
        <v>2012</v>
      </c>
      <c r="D496">
        <v>32129.33</v>
      </c>
      <c r="E496" t="s">
        <v>2013</v>
      </c>
      <c r="F496">
        <v>2.89</v>
      </c>
      <c r="G496">
        <v>0.62999999523162842</v>
      </c>
      <c r="H496">
        <v>817</v>
      </c>
      <c r="I496">
        <v>3.3900001049041748</v>
      </c>
      <c r="J496" t="s">
        <v>2014</v>
      </c>
      <c r="K496">
        <v>3000</v>
      </c>
      <c r="L496">
        <v>2360</v>
      </c>
      <c r="M496">
        <v>-21.33</v>
      </c>
      <c r="N496">
        <v>-2.0699999999999998</v>
      </c>
      <c r="O496">
        <v>0.85</v>
      </c>
      <c r="P496">
        <v>1.25</v>
      </c>
      <c r="Q496">
        <v>-9.39</v>
      </c>
      <c r="R496">
        <v>-2.91</v>
      </c>
      <c r="S496">
        <v>-5.83</v>
      </c>
      <c r="T496">
        <v>1.87</v>
      </c>
      <c r="U496">
        <v>1.23</v>
      </c>
      <c r="V496">
        <v>2.2999999999999998</v>
      </c>
      <c r="W496">
        <v>3.11</v>
      </c>
      <c r="X496">
        <v>2.0699999999999998</v>
      </c>
      <c r="Y496">
        <v>0.98</v>
      </c>
      <c r="Z496">
        <v>1.1100000000000001</v>
      </c>
      <c r="AA496">
        <v>0.69</v>
      </c>
      <c r="AB496">
        <v>0.54</v>
      </c>
      <c r="AC496">
        <v>3.02</v>
      </c>
      <c r="AD496">
        <v>1.41</v>
      </c>
      <c r="AE496">
        <v>5.95</v>
      </c>
      <c r="AF496">
        <v>2.12</v>
      </c>
      <c r="AG496" t="str">
        <f>HYPERLINK("https://finance.naver.com/item/fchart.naver?code=046310", "백금T&amp;A 차트보기")</f>
        <v>백금T&amp;A 차트보기</v>
      </c>
    </row>
    <row r="497" spans="1:33" x14ac:dyDescent="0.3">
      <c r="A497" t="s">
        <v>2015</v>
      </c>
      <c r="B497" t="s">
        <v>34</v>
      </c>
      <c r="C497" t="s">
        <v>2016</v>
      </c>
      <c r="D497">
        <v>10859.62</v>
      </c>
      <c r="E497" t="s">
        <v>2017</v>
      </c>
      <c r="F497">
        <v>0</v>
      </c>
      <c r="G497">
        <v>0.27000001072883612</v>
      </c>
      <c r="H497">
        <v>0</v>
      </c>
      <c r="I497">
        <v>2.029999971389771</v>
      </c>
      <c r="J497" t="s">
        <v>2018</v>
      </c>
      <c r="K497">
        <v>5520</v>
      </c>
      <c r="L497">
        <v>4930</v>
      </c>
      <c r="M497">
        <v>-10.69</v>
      </c>
      <c r="N497">
        <v>0.1</v>
      </c>
      <c r="O497">
        <v>-3.05</v>
      </c>
      <c r="P497">
        <v>-4.09</v>
      </c>
      <c r="Q497">
        <v>-3.49</v>
      </c>
      <c r="R497">
        <v>2.63</v>
      </c>
      <c r="S497">
        <v>-3.3</v>
      </c>
      <c r="T497">
        <v>1.02</v>
      </c>
      <c r="U497">
        <v>1.28</v>
      </c>
      <c r="V497">
        <v>2.2400000000000002</v>
      </c>
      <c r="W497">
        <v>3.96</v>
      </c>
      <c r="X497">
        <v>0.76</v>
      </c>
      <c r="Y497">
        <v>0.81</v>
      </c>
      <c r="Z497">
        <v>0.1</v>
      </c>
      <c r="AA497">
        <v>2.38</v>
      </c>
      <c r="AB497">
        <v>1.83</v>
      </c>
      <c r="AC497">
        <v>0.88</v>
      </c>
      <c r="AD497">
        <v>3.46</v>
      </c>
      <c r="AE497">
        <v>4.07</v>
      </c>
      <c r="AF497">
        <v>2.12</v>
      </c>
      <c r="AG497" t="str">
        <f>HYPERLINK("https://finance.naver.com/item/fchart.naver?code=008250", "이건산업 차트보기")</f>
        <v>이건산업 차트보기</v>
      </c>
    </row>
    <row r="498" spans="1:33" x14ac:dyDescent="0.3">
      <c r="A498" t="s">
        <v>2019</v>
      </c>
      <c r="B498" t="s">
        <v>55</v>
      </c>
      <c r="C498" t="s">
        <v>2020</v>
      </c>
      <c r="D498">
        <v>59605.48</v>
      </c>
      <c r="E498" t="s">
        <v>2021</v>
      </c>
      <c r="F498">
        <v>0</v>
      </c>
      <c r="G498">
        <v>0.6600000262260437</v>
      </c>
      <c r="H498">
        <v>0</v>
      </c>
      <c r="I498">
        <v>0</v>
      </c>
      <c r="J498" t="s">
        <v>2022</v>
      </c>
      <c r="K498">
        <v>6050</v>
      </c>
      <c r="L498">
        <v>5410</v>
      </c>
      <c r="M498">
        <v>-10.58</v>
      </c>
      <c r="N498">
        <v>4.6399999999999997</v>
      </c>
      <c r="O498">
        <v>-7.84</v>
      </c>
      <c r="P498">
        <v>-4.1500000000000004</v>
      </c>
      <c r="Q498">
        <v>3.91</v>
      </c>
      <c r="R498">
        <v>-5.98</v>
      </c>
      <c r="S498">
        <v>2.5499999999999998</v>
      </c>
      <c r="T498">
        <v>5.54</v>
      </c>
      <c r="U498">
        <v>1.23</v>
      </c>
      <c r="V498">
        <v>2.59</v>
      </c>
      <c r="W498">
        <v>4.55</v>
      </c>
      <c r="X498">
        <v>2.93</v>
      </c>
      <c r="Y498">
        <v>2.4900000000000002</v>
      </c>
      <c r="Z498">
        <v>0.84</v>
      </c>
      <c r="AA498">
        <v>6.37</v>
      </c>
      <c r="AB498">
        <v>1.6</v>
      </c>
      <c r="AC498">
        <v>0.86</v>
      </c>
      <c r="AD498">
        <v>2.04</v>
      </c>
      <c r="AE498">
        <v>1.02</v>
      </c>
      <c r="AF498">
        <v>2.121666666666667</v>
      </c>
      <c r="AG498" t="str">
        <f>HYPERLINK("https://finance.naver.com/item/fchart.naver?code=217270", "넵튠 차트보기")</f>
        <v>넵튠 차트보기</v>
      </c>
    </row>
    <row r="499" spans="1:33" x14ac:dyDescent="0.3">
      <c r="A499" t="s">
        <v>2023</v>
      </c>
      <c r="B499" t="s">
        <v>34</v>
      </c>
      <c r="C499" t="s">
        <v>2024</v>
      </c>
      <c r="D499">
        <v>139632.32999999999</v>
      </c>
      <c r="E499" t="s">
        <v>2025</v>
      </c>
      <c r="F499">
        <v>3.04</v>
      </c>
      <c r="G499">
        <v>0.28999999165534968</v>
      </c>
      <c r="H499">
        <v>13737</v>
      </c>
      <c r="I499">
        <v>6</v>
      </c>
      <c r="J499" t="s">
        <v>2026</v>
      </c>
      <c r="K499">
        <v>44900</v>
      </c>
      <c r="L499">
        <v>41700</v>
      </c>
      <c r="M499">
        <v>-7.13</v>
      </c>
      <c r="N499">
        <v>0.36</v>
      </c>
      <c r="O499">
        <v>-3.17</v>
      </c>
      <c r="P499">
        <v>-5.55</v>
      </c>
      <c r="Q499">
        <v>-7.38</v>
      </c>
      <c r="R499">
        <v>6.19</v>
      </c>
      <c r="S499">
        <v>5.51</v>
      </c>
      <c r="T499">
        <v>1.3</v>
      </c>
      <c r="U499">
        <v>1.0900000000000001</v>
      </c>
      <c r="V499">
        <v>2.7</v>
      </c>
      <c r="W499">
        <v>2.08</v>
      </c>
      <c r="X499">
        <v>2.04</v>
      </c>
      <c r="Y499">
        <v>6.11</v>
      </c>
      <c r="Z499">
        <v>0.28000000000000003</v>
      </c>
      <c r="AA499">
        <v>2.91</v>
      </c>
      <c r="AB499">
        <v>2.06</v>
      </c>
      <c r="AC499">
        <v>3.55</v>
      </c>
      <c r="AD499">
        <v>3.03</v>
      </c>
      <c r="AE499">
        <v>0.9</v>
      </c>
      <c r="AF499">
        <v>2.121666666666667</v>
      </c>
      <c r="AG499" t="str">
        <f>HYPERLINK("https://finance.naver.com/item/fchart.naver?code=078930", "GS 차트보기")</f>
        <v>GS 차트보기</v>
      </c>
    </row>
    <row r="500" spans="1:33" x14ac:dyDescent="0.3">
      <c r="A500" t="s">
        <v>2027</v>
      </c>
      <c r="B500" t="s">
        <v>55</v>
      </c>
      <c r="C500" t="s">
        <v>2028</v>
      </c>
      <c r="D500">
        <v>1995529.86</v>
      </c>
      <c r="E500" t="s">
        <v>2029</v>
      </c>
      <c r="F500">
        <v>0</v>
      </c>
      <c r="G500">
        <v>1.1000000238418579</v>
      </c>
      <c r="H500">
        <v>0</v>
      </c>
      <c r="I500">
        <v>0</v>
      </c>
      <c r="J500" t="s">
        <v>2030</v>
      </c>
      <c r="K500">
        <v>1359</v>
      </c>
      <c r="L500">
        <v>1171</v>
      </c>
      <c r="M500">
        <v>-13.83</v>
      </c>
      <c r="N500">
        <v>-4.0199999999999996</v>
      </c>
      <c r="O500">
        <v>-1.38</v>
      </c>
      <c r="P500">
        <v>52.67</v>
      </c>
      <c r="Q500">
        <v>-59.65</v>
      </c>
      <c r="R500">
        <v>-0.5</v>
      </c>
      <c r="S500">
        <v>-10.58</v>
      </c>
      <c r="T500">
        <v>5.09</v>
      </c>
      <c r="U500">
        <v>10.86</v>
      </c>
      <c r="V500">
        <v>17.29</v>
      </c>
      <c r="W500">
        <v>8.82</v>
      </c>
      <c r="X500">
        <v>5.21</v>
      </c>
      <c r="Y500">
        <v>5.57</v>
      </c>
      <c r="Z500">
        <v>0.79</v>
      </c>
      <c r="AA500">
        <v>0.13</v>
      </c>
      <c r="AB500">
        <v>3.05</v>
      </c>
      <c r="AC500">
        <v>6.76</v>
      </c>
      <c r="AD500">
        <v>0.1</v>
      </c>
      <c r="AE500">
        <v>1.9</v>
      </c>
      <c r="AF500">
        <v>2.121666666666667</v>
      </c>
      <c r="AG500" t="str">
        <f>HYPERLINK("https://finance.naver.com/item/fchart.naver?code=227100", "퀀텀온 차트보기")</f>
        <v>퀀텀온 차트보기</v>
      </c>
    </row>
    <row r="501" spans="1:33" x14ac:dyDescent="0.3">
      <c r="A501" t="s">
        <v>2031</v>
      </c>
      <c r="B501" t="s">
        <v>55</v>
      </c>
      <c r="C501" t="s">
        <v>2032</v>
      </c>
      <c r="D501">
        <v>25019.19</v>
      </c>
      <c r="E501" t="s">
        <v>2033</v>
      </c>
      <c r="F501">
        <v>15.04</v>
      </c>
      <c r="G501">
        <v>1.700000047683716</v>
      </c>
      <c r="H501">
        <v>2197</v>
      </c>
      <c r="I501">
        <v>1.2100000381469731</v>
      </c>
      <c r="J501" t="s">
        <v>2034</v>
      </c>
      <c r="K501">
        <v>53800</v>
      </c>
      <c r="L501">
        <v>33050</v>
      </c>
      <c r="M501">
        <v>-38.57</v>
      </c>
      <c r="N501">
        <v>-4.76</v>
      </c>
      <c r="O501">
        <v>-11.61</v>
      </c>
      <c r="P501">
        <v>-4.5</v>
      </c>
      <c r="Q501">
        <v>-8.9700000000000006</v>
      </c>
      <c r="R501">
        <v>-13.09</v>
      </c>
      <c r="S501">
        <v>-3.3</v>
      </c>
      <c r="T501">
        <v>4.8600000000000003</v>
      </c>
      <c r="U501">
        <v>2.78</v>
      </c>
      <c r="V501">
        <v>2.93</v>
      </c>
      <c r="W501">
        <v>5.57</v>
      </c>
      <c r="X501">
        <v>4.0199999999999996</v>
      </c>
      <c r="Y501">
        <v>2.81</v>
      </c>
      <c r="Z501">
        <v>0.98</v>
      </c>
      <c r="AA501">
        <v>4.18</v>
      </c>
      <c r="AB501">
        <v>1.54</v>
      </c>
      <c r="AC501">
        <v>1.61</v>
      </c>
      <c r="AD501">
        <v>3.26</v>
      </c>
      <c r="AE501">
        <v>1.17</v>
      </c>
      <c r="AF501">
        <v>2.123333333333334</v>
      </c>
      <c r="AG501" t="str">
        <f>HYPERLINK("https://finance.naver.com/item/fchart.naver?code=360070", "탑머티리얼 차트보기")</f>
        <v>탑머티리얼 차트보기</v>
      </c>
    </row>
    <row r="502" spans="1:33" x14ac:dyDescent="0.3">
      <c r="A502" t="s">
        <v>2035</v>
      </c>
      <c r="B502" t="s">
        <v>55</v>
      </c>
      <c r="C502" t="s">
        <v>2036</v>
      </c>
      <c r="D502">
        <v>90046.62</v>
      </c>
      <c r="E502" t="s">
        <v>2037</v>
      </c>
      <c r="F502">
        <v>9.9700000000000006</v>
      </c>
      <c r="G502">
        <v>1.3500000238418579</v>
      </c>
      <c r="H502">
        <v>1374</v>
      </c>
      <c r="I502">
        <v>0</v>
      </c>
      <c r="J502" t="s">
        <v>2038</v>
      </c>
      <c r="K502">
        <v>10800</v>
      </c>
      <c r="L502">
        <v>13700</v>
      </c>
      <c r="M502">
        <v>26.85</v>
      </c>
      <c r="N502">
        <v>1.41</v>
      </c>
      <c r="O502">
        <v>-5.52</v>
      </c>
      <c r="P502">
        <v>15.09</v>
      </c>
      <c r="Q502">
        <v>2.54</v>
      </c>
      <c r="R502">
        <v>-4.9400000000000004</v>
      </c>
      <c r="S502">
        <v>5.7</v>
      </c>
      <c r="T502">
        <v>1.77</v>
      </c>
      <c r="U502">
        <v>3.21</v>
      </c>
      <c r="V502">
        <v>2.64</v>
      </c>
      <c r="W502">
        <v>4.1100000000000003</v>
      </c>
      <c r="X502">
        <v>2.5299999999999998</v>
      </c>
      <c r="Y502">
        <v>2.94</v>
      </c>
      <c r="Z502">
        <v>0.8</v>
      </c>
      <c r="AA502">
        <v>1.72</v>
      </c>
      <c r="AB502">
        <v>5.72</v>
      </c>
      <c r="AC502">
        <v>0.62</v>
      </c>
      <c r="AD502">
        <v>1.95</v>
      </c>
      <c r="AE502">
        <v>1.94</v>
      </c>
      <c r="AF502">
        <v>2.125</v>
      </c>
      <c r="AG502" t="str">
        <f>HYPERLINK("https://finance.naver.com/item/fchart.naver?code=377450", "리파인 차트보기")</f>
        <v>리파인 차트보기</v>
      </c>
    </row>
    <row r="503" spans="1:33" x14ac:dyDescent="0.3">
      <c r="A503" t="s">
        <v>2039</v>
      </c>
      <c r="B503" t="s">
        <v>55</v>
      </c>
      <c r="C503" t="s">
        <v>2040</v>
      </c>
      <c r="D503">
        <v>687090.1</v>
      </c>
      <c r="E503" t="s">
        <v>2041</v>
      </c>
      <c r="F503">
        <v>11.77</v>
      </c>
      <c r="G503">
        <v>1.1499999761581421</v>
      </c>
      <c r="H503">
        <v>313</v>
      </c>
      <c r="I503">
        <v>4.070000171661377</v>
      </c>
      <c r="J503" t="s">
        <v>2042</v>
      </c>
      <c r="K503">
        <v>4175</v>
      </c>
      <c r="L503">
        <v>3685</v>
      </c>
      <c r="M503">
        <v>-11.74</v>
      </c>
      <c r="N503">
        <v>4.3899999999999997</v>
      </c>
      <c r="O503">
        <v>-1.4</v>
      </c>
      <c r="P503">
        <v>7.61</v>
      </c>
      <c r="Q503">
        <v>-5.59</v>
      </c>
      <c r="R503">
        <v>-2.98</v>
      </c>
      <c r="S503">
        <v>-8.49</v>
      </c>
      <c r="T503">
        <v>2.8</v>
      </c>
      <c r="U503">
        <v>2.0299999999999998</v>
      </c>
      <c r="V503">
        <v>6.06</v>
      </c>
      <c r="W503">
        <v>3.81</v>
      </c>
      <c r="X503">
        <v>1.39</v>
      </c>
      <c r="Y503">
        <v>1.51</v>
      </c>
      <c r="Z503">
        <v>1.57</v>
      </c>
      <c r="AA503">
        <v>0.69</v>
      </c>
      <c r="AB503">
        <v>1.26</v>
      </c>
      <c r="AC503">
        <v>1.47</v>
      </c>
      <c r="AD503">
        <v>2.14</v>
      </c>
      <c r="AE503">
        <v>5.62</v>
      </c>
      <c r="AF503">
        <v>2.125</v>
      </c>
      <c r="AG503" t="str">
        <f>HYPERLINK("https://finance.naver.com/item/fchart.naver?code=057030", "YBM넷 차트보기")</f>
        <v>YBM넷 차트보기</v>
      </c>
    </row>
    <row r="504" spans="1:33" x14ac:dyDescent="0.3">
      <c r="A504" t="s">
        <v>2043</v>
      </c>
      <c r="B504" t="s">
        <v>34</v>
      </c>
      <c r="C504" t="s">
        <v>2044</v>
      </c>
      <c r="D504">
        <v>16205.95</v>
      </c>
      <c r="E504" t="s">
        <v>2045</v>
      </c>
      <c r="F504">
        <v>4.7</v>
      </c>
      <c r="G504">
        <v>0.31000000238418579</v>
      </c>
      <c r="H504">
        <v>675</v>
      </c>
      <c r="I504">
        <v>5.9899997711181641</v>
      </c>
      <c r="J504" t="s">
        <v>2046</v>
      </c>
      <c r="K504">
        <v>3445</v>
      </c>
      <c r="L504">
        <v>3170</v>
      </c>
      <c r="M504">
        <v>-7.98</v>
      </c>
      <c r="N504">
        <v>0.96</v>
      </c>
      <c r="O504">
        <v>-3.09</v>
      </c>
      <c r="P504">
        <v>-0.76</v>
      </c>
      <c r="Q504">
        <v>-7.92</v>
      </c>
      <c r="R504">
        <v>0</v>
      </c>
      <c r="S504">
        <v>1.27</v>
      </c>
      <c r="T504">
        <v>0.34</v>
      </c>
      <c r="U504">
        <v>0.96</v>
      </c>
      <c r="V504">
        <v>0.56999999999999995</v>
      </c>
      <c r="W504">
        <v>1.9</v>
      </c>
      <c r="X504">
        <v>1.25</v>
      </c>
      <c r="Y504">
        <v>1.05</v>
      </c>
      <c r="Z504">
        <v>2.82</v>
      </c>
      <c r="AA504">
        <v>3.22</v>
      </c>
      <c r="AB504">
        <v>1.33</v>
      </c>
      <c r="AC504">
        <v>4.17</v>
      </c>
      <c r="AD504">
        <v>0</v>
      </c>
      <c r="AE504">
        <v>1.21</v>
      </c>
      <c r="AF504">
        <v>2.125</v>
      </c>
      <c r="AG504" t="str">
        <f>HYPERLINK("https://finance.naver.com/item/fchart.naver?code=010960", "삼호개발 차트보기")</f>
        <v>삼호개발 차트보기</v>
      </c>
    </row>
    <row r="505" spans="1:33" x14ac:dyDescent="0.3">
      <c r="A505" t="s">
        <v>2047</v>
      </c>
      <c r="B505" t="s">
        <v>34</v>
      </c>
      <c r="C505" t="s">
        <v>2048</v>
      </c>
      <c r="D505">
        <v>44191.33</v>
      </c>
      <c r="E505" t="s">
        <v>2049</v>
      </c>
      <c r="J505" t="s">
        <v>2050</v>
      </c>
      <c r="K505">
        <v>4235</v>
      </c>
      <c r="L505">
        <v>3890</v>
      </c>
      <c r="M505">
        <v>-8.15</v>
      </c>
      <c r="N505">
        <v>-1.02</v>
      </c>
      <c r="O505">
        <v>-2.97</v>
      </c>
      <c r="P505">
        <v>-0.49</v>
      </c>
      <c r="Q505">
        <v>-1.38</v>
      </c>
      <c r="R505">
        <v>-0.12</v>
      </c>
      <c r="S505">
        <v>-3.59</v>
      </c>
      <c r="T505">
        <v>0.4</v>
      </c>
      <c r="U505">
        <v>0.57999999999999996</v>
      </c>
      <c r="V505">
        <v>1.02</v>
      </c>
      <c r="W505">
        <v>1.73</v>
      </c>
      <c r="X505">
        <v>0.66</v>
      </c>
      <c r="Y505">
        <v>0.99</v>
      </c>
      <c r="Z505">
        <v>2.5499999999999998</v>
      </c>
      <c r="AA505">
        <v>5.12</v>
      </c>
      <c r="AB505">
        <v>0.48</v>
      </c>
      <c r="AC505">
        <v>0.8</v>
      </c>
      <c r="AD505">
        <v>0.18</v>
      </c>
      <c r="AE505">
        <v>3.63</v>
      </c>
      <c r="AF505">
        <v>2.1266666666666669</v>
      </c>
      <c r="AG505" t="str">
        <f>HYPERLINK("https://finance.naver.com/item/fchart.naver?code=350520", "이지스레지던스리츠 차트보기")</f>
        <v>이지스레지던스리츠 차트보기</v>
      </c>
    </row>
    <row r="506" spans="1:33" x14ac:dyDescent="0.3">
      <c r="A506" t="s">
        <v>2051</v>
      </c>
      <c r="B506" t="s">
        <v>34</v>
      </c>
      <c r="C506" t="s">
        <v>2052</v>
      </c>
      <c r="D506">
        <v>593678.24</v>
      </c>
      <c r="E506" t="s">
        <v>2053</v>
      </c>
      <c r="F506">
        <v>6.25</v>
      </c>
      <c r="G506">
        <v>0.69999998807907104</v>
      </c>
      <c r="H506">
        <v>2907</v>
      </c>
      <c r="I506">
        <v>4.7100000381469727</v>
      </c>
      <c r="J506" t="s">
        <v>2054</v>
      </c>
      <c r="K506">
        <v>13320</v>
      </c>
      <c r="L506">
        <v>18160</v>
      </c>
      <c r="M506">
        <v>36.340000000000003</v>
      </c>
      <c r="N506">
        <v>1.34</v>
      </c>
      <c r="O506">
        <v>15.62</v>
      </c>
      <c r="P506">
        <v>6.76</v>
      </c>
      <c r="Q506">
        <v>-2.21</v>
      </c>
      <c r="R506">
        <v>7.0000000000000007E-2</v>
      </c>
      <c r="S506">
        <v>2.16</v>
      </c>
      <c r="T506">
        <v>1.45</v>
      </c>
      <c r="U506">
        <v>2.14</v>
      </c>
      <c r="V506">
        <v>3.02</v>
      </c>
      <c r="W506">
        <v>2.09</v>
      </c>
      <c r="X506">
        <v>2.1</v>
      </c>
      <c r="Y506">
        <v>1.79</v>
      </c>
      <c r="Z506">
        <v>0.92</v>
      </c>
      <c r="AA506">
        <v>7.3</v>
      </c>
      <c r="AB506">
        <v>2.2400000000000002</v>
      </c>
      <c r="AC506">
        <v>1.06</v>
      </c>
      <c r="AD506">
        <v>0.03</v>
      </c>
      <c r="AE506">
        <v>1.21</v>
      </c>
      <c r="AF506">
        <v>2.1266666666666669</v>
      </c>
      <c r="AG506" t="str">
        <f>HYPERLINK("https://finance.naver.com/item/fchart.naver?code=175330", "JB금융지주 차트보기")</f>
        <v>JB금융지주 차트보기</v>
      </c>
    </row>
    <row r="507" spans="1:33" x14ac:dyDescent="0.3">
      <c r="A507" t="s">
        <v>2055</v>
      </c>
      <c r="B507" t="s">
        <v>55</v>
      </c>
      <c r="C507" t="s">
        <v>2056</v>
      </c>
      <c r="D507">
        <v>7165.14</v>
      </c>
      <c r="E507" t="s">
        <v>2057</v>
      </c>
      <c r="F507">
        <v>10.42</v>
      </c>
      <c r="G507">
        <v>0.44999998807907099</v>
      </c>
      <c r="H507">
        <v>249</v>
      </c>
      <c r="I507">
        <v>0</v>
      </c>
      <c r="J507" t="s">
        <v>2058</v>
      </c>
      <c r="K507">
        <v>3045</v>
      </c>
      <c r="L507">
        <v>2595</v>
      </c>
      <c r="M507">
        <v>-14.78</v>
      </c>
      <c r="N507">
        <v>-2.2599999999999998</v>
      </c>
      <c r="O507">
        <v>4.3899999999999997</v>
      </c>
      <c r="P507">
        <v>-0.56999999999999995</v>
      </c>
      <c r="Q507">
        <v>-9.08</v>
      </c>
      <c r="R507">
        <v>-0.35</v>
      </c>
      <c r="S507">
        <v>-2.5099999999999998</v>
      </c>
      <c r="T507">
        <v>1.8</v>
      </c>
      <c r="U507">
        <v>0.77</v>
      </c>
      <c r="V507">
        <v>1.6</v>
      </c>
      <c r="W507">
        <v>2.46</v>
      </c>
      <c r="X507">
        <v>1.21</v>
      </c>
      <c r="Y507">
        <v>1.71</v>
      </c>
      <c r="Z507">
        <v>1.26</v>
      </c>
      <c r="AA507">
        <v>5.7</v>
      </c>
      <c r="AB507">
        <v>0.36</v>
      </c>
      <c r="AC507">
        <v>3.69</v>
      </c>
      <c r="AD507">
        <v>0.28999999999999998</v>
      </c>
      <c r="AE507">
        <v>1.47</v>
      </c>
      <c r="AF507">
        <v>2.128333333333333</v>
      </c>
      <c r="AG507" t="str">
        <f>HYPERLINK("https://finance.naver.com/item/fchart.naver?code=039740", "한국정보공학 차트보기")</f>
        <v>한국정보공학 차트보기</v>
      </c>
    </row>
    <row r="508" spans="1:33" x14ac:dyDescent="0.3">
      <c r="A508" t="s">
        <v>2059</v>
      </c>
      <c r="B508" t="s">
        <v>34</v>
      </c>
      <c r="C508" t="s">
        <v>2060</v>
      </c>
      <c r="D508">
        <v>282660.19</v>
      </c>
      <c r="E508" t="s">
        <v>2061</v>
      </c>
      <c r="F508">
        <v>22.35</v>
      </c>
      <c r="G508">
        <v>0.82999998331069946</v>
      </c>
      <c r="H508">
        <v>52</v>
      </c>
      <c r="I508">
        <v>0</v>
      </c>
      <c r="J508" t="s">
        <v>2062</v>
      </c>
      <c r="K508">
        <v>1087</v>
      </c>
      <c r="L508">
        <v>1162</v>
      </c>
      <c r="M508">
        <v>6.9</v>
      </c>
      <c r="N508">
        <v>1.31</v>
      </c>
      <c r="O508">
        <v>1.89</v>
      </c>
      <c r="P508">
        <v>6.38</v>
      </c>
      <c r="Q508">
        <v>5.36</v>
      </c>
      <c r="R508">
        <v>-10.58</v>
      </c>
      <c r="S508">
        <v>6.7</v>
      </c>
      <c r="T508">
        <v>1.44</v>
      </c>
      <c r="U508">
        <v>2.1800000000000002</v>
      </c>
      <c r="V508">
        <v>2.83</v>
      </c>
      <c r="W508">
        <v>1.69</v>
      </c>
      <c r="X508">
        <v>3.64</v>
      </c>
      <c r="Y508">
        <v>2.52</v>
      </c>
      <c r="Z508">
        <v>0.91</v>
      </c>
      <c r="AA508">
        <v>0.87</v>
      </c>
      <c r="AB508">
        <v>2.25</v>
      </c>
      <c r="AC508">
        <v>3.17</v>
      </c>
      <c r="AD508">
        <v>2.91</v>
      </c>
      <c r="AE508">
        <v>2.66</v>
      </c>
      <c r="AF508">
        <v>2.128333333333333</v>
      </c>
      <c r="AG508" t="str">
        <f>HYPERLINK("https://finance.naver.com/item/fchart.naver?code=069460", "대호에이엘 차트보기")</f>
        <v>대호에이엘 차트보기</v>
      </c>
    </row>
    <row r="509" spans="1:33" x14ac:dyDescent="0.3">
      <c r="A509" t="s">
        <v>2063</v>
      </c>
      <c r="B509" t="s">
        <v>55</v>
      </c>
      <c r="C509" t="s">
        <v>2064</v>
      </c>
      <c r="D509">
        <v>9854.1</v>
      </c>
      <c r="E509" t="s">
        <v>2065</v>
      </c>
      <c r="F509">
        <v>2.25</v>
      </c>
      <c r="G509">
        <v>0.49000000953674322</v>
      </c>
      <c r="H509">
        <v>1356</v>
      </c>
      <c r="I509">
        <v>0</v>
      </c>
      <c r="J509" t="s">
        <v>2066</v>
      </c>
      <c r="K509">
        <v>4310</v>
      </c>
      <c r="L509">
        <v>3055</v>
      </c>
      <c r="M509">
        <v>-29.12</v>
      </c>
      <c r="N509">
        <v>-3.17</v>
      </c>
      <c r="O509">
        <v>10.4</v>
      </c>
      <c r="P509">
        <v>-0.65</v>
      </c>
      <c r="Q509">
        <v>-2.36</v>
      </c>
      <c r="R509">
        <v>-8.81</v>
      </c>
      <c r="S509">
        <v>-6.65</v>
      </c>
      <c r="T509">
        <v>2.4900000000000002</v>
      </c>
      <c r="U509">
        <v>2.38</v>
      </c>
      <c r="V509">
        <v>2.2200000000000002</v>
      </c>
      <c r="W509">
        <v>3.27</v>
      </c>
      <c r="X509">
        <v>2.68</v>
      </c>
      <c r="Y509">
        <v>2.34</v>
      </c>
      <c r="Z509">
        <v>1.27</v>
      </c>
      <c r="AA509">
        <v>4.37</v>
      </c>
      <c r="AB509">
        <v>0.28999999999999998</v>
      </c>
      <c r="AC509">
        <v>0.72</v>
      </c>
      <c r="AD509">
        <v>3.29</v>
      </c>
      <c r="AE509">
        <v>2.84</v>
      </c>
      <c r="AF509">
        <v>2.13</v>
      </c>
      <c r="AG509" t="str">
        <f>HYPERLINK("https://finance.naver.com/item/fchart.naver?code=208350", "지란지교시큐리티 차트보기")</f>
        <v>지란지교시큐리티 차트보기</v>
      </c>
    </row>
    <row r="510" spans="1:33" x14ac:dyDescent="0.3">
      <c r="A510" t="s">
        <v>2067</v>
      </c>
      <c r="B510" t="s">
        <v>55</v>
      </c>
      <c r="C510" t="s">
        <v>2068</v>
      </c>
      <c r="D510">
        <v>59208.33</v>
      </c>
      <c r="E510" t="s">
        <v>2069</v>
      </c>
      <c r="F510">
        <v>16.850000000000001</v>
      </c>
      <c r="G510">
        <v>0.9100000262260437</v>
      </c>
      <c r="H510">
        <v>416</v>
      </c>
      <c r="I510">
        <v>1.429999947547913</v>
      </c>
      <c r="J510" t="s">
        <v>2070</v>
      </c>
      <c r="K510">
        <v>9120</v>
      </c>
      <c r="L510">
        <v>7010</v>
      </c>
      <c r="M510">
        <v>-23.14</v>
      </c>
      <c r="N510">
        <v>-1.41</v>
      </c>
      <c r="O510">
        <v>-2.59</v>
      </c>
      <c r="P510">
        <v>-1.35</v>
      </c>
      <c r="Q510">
        <v>-7.95</v>
      </c>
      <c r="R510">
        <v>-3.88</v>
      </c>
      <c r="S510">
        <v>-5.75</v>
      </c>
      <c r="T510">
        <v>1.89</v>
      </c>
      <c r="U510">
        <v>1.02</v>
      </c>
      <c r="V510">
        <v>1.76</v>
      </c>
      <c r="W510">
        <v>2.77</v>
      </c>
      <c r="X510">
        <v>1.1499999999999999</v>
      </c>
      <c r="Y510">
        <v>2.3199999999999998</v>
      </c>
      <c r="Z510">
        <v>0.75</v>
      </c>
      <c r="AA510">
        <v>2.54</v>
      </c>
      <c r="AB510">
        <v>0.77</v>
      </c>
      <c r="AC510">
        <v>2.87</v>
      </c>
      <c r="AD510">
        <v>3.37</v>
      </c>
      <c r="AE510">
        <v>2.48</v>
      </c>
      <c r="AF510">
        <v>2.13</v>
      </c>
      <c r="AG510" t="str">
        <f>HYPERLINK("https://finance.naver.com/item/fchart.naver?code=053580", "웹케시 차트보기")</f>
        <v>웹케시 차트보기</v>
      </c>
    </row>
    <row r="511" spans="1:33" x14ac:dyDescent="0.3">
      <c r="A511" t="s">
        <v>2071</v>
      </c>
      <c r="B511" t="s">
        <v>55</v>
      </c>
      <c r="C511" t="s">
        <v>2072</v>
      </c>
      <c r="D511">
        <v>23314.48</v>
      </c>
      <c r="E511" t="s">
        <v>2073</v>
      </c>
      <c r="F511">
        <v>10.84</v>
      </c>
      <c r="G511">
        <v>1.129999995231628</v>
      </c>
      <c r="H511">
        <v>1277</v>
      </c>
      <c r="I511">
        <v>1.450000047683716</v>
      </c>
      <c r="J511" t="s">
        <v>2074</v>
      </c>
      <c r="K511">
        <v>15090</v>
      </c>
      <c r="L511">
        <v>13840</v>
      </c>
      <c r="M511">
        <v>-8.2799999999999994</v>
      </c>
      <c r="N511">
        <v>-0.86</v>
      </c>
      <c r="O511">
        <v>4.09</v>
      </c>
      <c r="P511">
        <v>-3.19</v>
      </c>
      <c r="Q511">
        <v>0.14000000000000001</v>
      </c>
      <c r="R511">
        <v>-2.75</v>
      </c>
      <c r="S511">
        <v>-13.21</v>
      </c>
      <c r="T511">
        <v>1.62</v>
      </c>
      <c r="U511">
        <v>1.84</v>
      </c>
      <c r="V511">
        <v>1.81</v>
      </c>
      <c r="W511">
        <v>3.87</v>
      </c>
      <c r="X511">
        <v>1.41</v>
      </c>
      <c r="Y511">
        <v>2.1</v>
      </c>
      <c r="Z511">
        <v>0.53</v>
      </c>
      <c r="AA511">
        <v>2.2200000000000002</v>
      </c>
      <c r="AB511">
        <v>1.76</v>
      </c>
      <c r="AC511">
        <v>0.04</v>
      </c>
      <c r="AD511">
        <v>1.95</v>
      </c>
      <c r="AE511">
        <v>6.29</v>
      </c>
      <c r="AF511">
        <v>2.1316666666666659</v>
      </c>
      <c r="AG511" t="str">
        <f>HYPERLINK("https://finance.naver.com/item/fchart.naver?code=224110", "에이텍모빌리티 차트보기")</f>
        <v>에이텍모빌리티 차트보기</v>
      </c>
    </row>
    <row r="512" spans="1:33" x14ac:dyDescent="0.3">
      <c r="A512" t="s">
        <v>2075</v>
      </c>
      <c r="B512" t="s">
        <v>34</v>
      </c>
      <c r="C512" t="s">
        <v>2076</v>
      </c>
      <c r="D512">
        <v>1667.19</v>
      </c>
      <c r="E512" t="s">
        <v>2077</v>
      </c>
      <c r="F512">
        <v>0</v>
      </c>
      <c r="G512">
        <v>0.239999994635582</v>
      </c>
      <c r="H512">
        <v>0</v>
      </c>
      <c r="I512">
        <v>0</v>
      </c>
      <c r="J512" t="s">
        <v>2078</v>
      </c>
      <c r="K512">
        <v>14610</v>
      </c>
      <c r="L512">
        <v>11370</v>
      </c>
      <c r="M512">
        <v>-22.18</v>
      </c>
      <c r="N512">
        <v>-1.04</v>
      </c>
      <c r="O512">
        <v>-10.48</v>
      </c>
      <c r="P512">
        <v>-3.51</v>
      </c>
      <c r="Q512">
        <v>-4.22</v>
      </c>
      <c r="R512">
        <v>-1.34</v>
      </c>
      <c r="S512">
        <v>-1.7</v>
      </c>
      <c r="T512">
        <v>2.13</v>
      </c>
      <c r="U512">
        <v>1.79</v>
      </c>
      <c r="V512">
        <v>1.48</v>
      </c>
      <c r="W512">
        <v>3.91</v>
      </c>
      <c r="X512">
        <v>0.89</v>
      </c>
      <c r="Y512">
        <v>1.1399999999999999</v>
      </c>
      <c r="Z512">
        <v>0.49</v>
      </c>
      <c r="AA512">
        <v>5.85</v>
      </c>
      <c r="AB512">
        <v>2.37</v>
      </c>
      <c r="AC512">
        <v>1.08</v>
      </c>
      <c r="AD512">
        <v>1.51</v>
      </c>
      <c r="AE512">
        <v>1.49</v>
      </c>
      <c r="AF512">
        <v>2.1316666666666668</v>
      </c>
      <c r="AG512" t="str">
        <f>HYPERLINK("https://finance.naver.com/item/fchart.naver?code=000760", "이화산업 차트보기")</f>
        <v>이화산업 차트보기</v>
      </c>
    </row>
    <row r="513" spans="1:33" x14ac:dyDescent="0.3">
      <c r="A513" t="s">
        <v>2079</v>
      </c>
      <c r="B513" t="s">
        <v>55</v>
      </c>
      <c r="C513" t="s">
        <v>2080</v>
      </c>
      <c r="D513">
        <v>4764.4799999999996</v>
      </c>
      <c r="E513" t="s">
        <v>2081</v>
      </c>
      <c r="F513">
        <v>13.38</v>
      </c>
      <c r="G513">
        <v>0.31000000238418579</v>
      </c>
      <c r="H513">
        <v>268</v>
      </c>
      <c r="I513">
        <v>1.389999985694885</v>
      </c>
      <c r="J513" t="s">
        <v>2082</v>
      </c>
      <c r="K513">
        <v>4450</v>
      </c>
      <c r="L513">
        <v>3585</v>
      </c>
      <c r="M513">
        <v>-19.440000000000001</v>
      </c>
      <c r="N513">
        <v>0</v>
      </c>
      <c r="O513">
        <v>-11.18</v>
      </c>
      <c r="P513">
        <v>-3.36</v>
      </c>
      <c r="Q513">
        <v>-3.26</v>
      </c>
      <c r="R513">
        <v>1.67</v>
      </c>
      <c r="S513">
        <v>1.32</v>
      </c>
      <c r="T513">
        <v>1.34</v>
      </c>
      <c r="U513">
        <v>1.42</v>
      </c>
      <c r="V513">
        <v>1.72</v>
      </c>
      <c r="W513">
        <v>2.95</v>
      </c>
      <c r="X513">
        <v>2.4300000000000002</v>
      </c>
      <c r="Y513">
        <v>1.1200000000000001</v>
      </c>
      <c r="Z513">
        <v>0</v>
      </c>
      <c r="AA513">
        <v>7.87</v>
      </c>
      <c r="AB513">
        <v>1.95</v>
      </c>
      <c r="AC513">
        <v>1.1100000000000001</v>
      </c>
      <c r="AD513">
        <v>0.69</v>
      </c>
      <c r="AE513">
        <v>1.18</v>
      </c>
      <c r="AF513">
        <v>2.1333333333333329</v>
      </c>
      <c r="AG513" t="str">
        <f>HYPERLINK("https://finance.naver.com/item/fchart.naver?code=038950", "파인디지털 차트보기")</f>
        <v>파인디지털 차트보기</v>
      </c>
    </row>
    <row r="514" spans="1:33" x14ac:dyDescent="0.3">
      <c r="A514" t="s">
        <v>2083</v>
      </c>
      <c r="B514" t="s">
        <v>55</v>
      </c>
      <c r="C514" t="s">
        <v>2084</v>
      </c>
      <c r="D514">
        <v>1640447.71</v>
      </c>
      <c r="E514" t="s">
        <v>2085</v>
      </c>
      <c r="F514">
        <v>0</v>
      </c>
      <c r="G514">
        <v>1.8500000238418579</v>
      </c>
      <c r="H514">
        <v>0</v>
      </c>
      <c r="I514">
        <v>1.559999942779541</v>
      </c>
      <c r="J514" t="s">
        <v>2086</v>
      </c>
      <c r="K514">
        <v>4940</v>
      </c>
      <c r="L514">
        <v>3835</v>
      </c>
      <c r="M514">
        <v>-22.37</v>
      </c>
      <c r="N514">
        <v>-15.53</v>
      </c>
      <c r="O514">
        <v>-1.3</v>
      </c>
      <c r="P514">
        <v>-4.9000000000000004</v>
      </c>
      <c r="Q514">
        <v>-4.03</v>
      </c>
      <c r="R514">
        <v>-5.97</v>
      </c>
      <c r="S514">
        <v>-1.1599999999999999</v>
      </c>
      <c r="T514">
        <v>8.77</v>
      </c>
      <c r="U514">
        <v>1.47</v>
      </c>
      <c r="V514">
        <v>1.57</v>
      </c>
      <c r="W514">
        <v>5.93</v>
      </c>
      <c r="X514">
        <v>1.02</v>
      </c>
      <c r="Y514">
        <v>2.2999999999999998</v>
      </c>
      <c r="Z514">
        <v>1.77</v>
      </c>
      <c r="AA514">
        <v>0.88</v>
      </c>
      <c r="AB514">
        <v>3.12</v>
      </c>
      <c r="AC514">
        <v>0.68</v>
      </c>
      <c r="AD514">
        <v>5.85</v>
      </c>
      <c r="AE514">
        <v>0.5</v>
      </c>
      <c r="AF514">
        <v>2.1333333333333329</v>
      </c>
      <c r="AG514" t="str">
        <f>HYPERLINK("https://finance.naver.com/item/fchart.naver?code=032620", "유비케어 차트보기")</f>
        <v>유비케어 차트보기</v>
      </c>
    </row>
    <row r="515" spans="1:33" x14ac:dyDescent="0.3">
      <c r="A515" t="s">
        <v>2087</v>
      </c>
      <c r="B515" t="s">
        <v>34</v>
      </c>
      <c r="C515" t="s">
        <v>2088</v>
      </c>
      <c r="D515">
        <v>29904.81</v>
      </c>
      <c r="E515" t="s">
        <v>2089</v>
      </c>
      <c r="F515">
        <v>8.64</v>
      </c>
      <c r="G515">
        <v>0.68999999761581421</v>
      </c>
      <c r="H515">
        <v>1291</v>
      </c>
      <c r="I515">
        <v>4.570000171661377</v>
      </c>
      <c r="J515" t="s">
        <v>2090</v>
      </c>
      <c r="K515">
        <v>13140</v>
      </c>
      <c r="L515">
        <v>11150</v>
      </c>
      <c r="M515">
        <v>-15.14</v>
      </c>
      <c r="N515">
        <v>-1.41</v>
      </c>
      <c r="O515">
        <v>-1.07</v>
      </c>
      <c r="P515">
        <v>-1.1200000000000001</v>
      </c>
      <c r="Q515">
        <v>-7.53</v>
      </c>
      <c r="R515">
        <v>-0.56000000000000005</v>
      </c>
      <c r="S515">
        <v>-3.16</v>
      </c>
      <c r="T515">
        <v>0.95</v>
      </c>
      <c r="U515">
        <v>0.87</v>
      </c>
      <c r="V515">
        <v>1.21</v>
      </c>
      <c r="W515">
        <v>2.4900000000000002</v>
      </c>
      <c r="X515">
        <v>1.07</v>
      </c>
      <c r="Y515">
        <v>0.56000000000000005</v>
      </c>
      <c r="Z515">
        <v>1.48</v>
      </c>
      <c r="AA515">
        <v>1.23</v>
      </c>
      <c r="AB515">
        <v>0.93</v>
      </c>
      <c r="AC515">
        <v>3.02</v>
      </c>
      <c r="AD515">
        <v>0.52</v>
      </c>
      <c r="AE515">
        <v>5.64</v>
      </c>
      <c r="AF515">
        <v>2.1366666666666672</v>
      </c>
      <c r="AG515" t="str">
        <f>HYPERLINK("https://finance.naver.com/item/fchart.naver?code=293480", "하나제약 차트보기")</f>
        <v>하나제약 차트보기</v>
      </c>
    </row>
    <row r="516" spans="1:33" x14ac:dyDescent="0.3">
      <c r="A516" t="s">
        <v>2091</v>
      </c>
      <c r="B516" t="s">
        <v>55</v>
      </c>
      <c r="C516" t="s">
        <v>2092</v>
      </c>
      <c r="D516">
        <v>24804.57</v>
      </c>
      <c r="E516" t="s">
        <v>2093</v>
      </c>
      <c r="F516">
        <v>6.31</v>
      </c>
      <c r="G516">
        <v>0.98000001907348633</v>
      </c>
      <c r="H516">
        <v>4261</v>
      </c>
      <c r="I516">
        <v>2.339999914169312</v>
      </c>
      <c r="J516" t="s">
        <v>2094</v>
      </c>
      <c r="K516">
        <v>33850</v>
      </c>
      <c r="L516">
        <v>26900</v>
      </c>
      <c r="M516">
        <v>-20.53</v>
      </c>
      <c r="N516">
        <v>-2.71</v>
      </c>
      <c r="O516">
        <v>-1.96</v>
      </c>
      <c r="P516">
        <v>-1.54</v>
      </c>
      <c r="Q516">
        <v>-9.0399999999999991</v>
      </c>
      <c r="R516">
        <v>3.32</v>
      </c>
      <c r="S516">
        <v>-5.1100000000000003</v>
      </c>
      <c r="T516">
        <v>1.91</v>
      </c>
      <c r="U516">
        <v>1.66</v>
      </c>
      <c r="V516">
        <v>1.73</v>
      </c>
      <c r="W516">
        <v>2.96</v>
      </c>
      <c r="X516">
        <v>0.92</v>
      </c>
      <c r="Y516">
        <v>1.91</v>
      </c>
      <c r="Z516">
        <v>1.42</v>
      </c>
      <c r="AA516">
        <v>1.18</v>
      </c>
      <c r="AB516">
        <v>0.89</v>
      </c>
      <c r="AC516">
        <v>3.05</v>
      </c>
      <c r="AD516">
        <v>3.61</v>
      </c>
      <c r="AE516">
        <v>2.68</v>
      </c>
      <c r="AF516">
        <v>2.1383333333333332</v>
      </c>
      <c r="AG516" t="str">
        <f>HYPERLINK("https://finance.naver.com/item/fchart.naver?code=243070", "휴온스 차트보기")</f>
        <v>휴온스 차트보기</v>
      </c>
    </row>
    <row r="517" spans="1:33" x14ac:dyDescent="0.3">
      <c r="A517" t="s">
        <v>2095</v>
      </c>
      <c r="B517" t="s">
        <v>55</v>
      </c>
      <c r="C517" t="s">
        <v>2096</v>
      </c>
      <c r="D517">
        <v>73056.86</v>
      </c>
      <c r="E517" t="s">
        <v>2097</v>
      </c>
      <c r="F517">
        <v>2.79</v>
      </c>
      <c r="G517">
        <v>0.43999999761581421</v>
      </c>
      <c r="H517">
        <v>2134</v>
      </c>
      <c r="I517">
        <v>0.8399999737739563</v>
      </c>
      <c r="J517" t="s">
        <v>2098</v>
      </c>
      <c r="K517">
        <v>7700</v>
      </c>
      <c r="L517">
        <v>5950</v>
      </c>
      <c r="M517">
        <v>-22.73</v>
      </c>
      <c r="N517">
        <v>-2.94</v>
      </c>
      <c r="O517">
        <v>0.49</v>
      </c>
      <c r="P517">
        <v>2.3199999999999998</v>
      </c>
      <c r="Q517">
        <v>-7.55</v>
      </c>
      <c r="R517">
        <v>-4.99</v>
      </c>
      <c r="S517">
        <v>-2.79</v>
      </c>
      <c r="T517">
        <v>1.35</v>
      </c>
      <c r="U517">
        <v>0.84</v>
      </c>
      <c r="V517">
        <v>1.72</v>
      </c>
      <c r="W517">
        <v>2.67</v>
      </c>
      <c r="X517">
        <v>1.22</v>
      </c>
      <c r="Y517">
        <v>1.55</v>
      </c>
      <c r="Z517">
        <v>2.1800000000000002</v>
      </c>
      <c r="AA517">
        <v>0.57999999999999996</v>
      </c>
      <c r="AB517">
        <v>1.35</v>
      </c>
      <c r="AC517">
        <v>2.83</v>
      </c>
      <c r="AD517">
        <v>4.09</v>
      </c>
      <c r="AE517">
        <v>1.8</v>
      </c>
      <c r="AF517">
        <v>2.1383333333333341</v>
      </c>
      <c r="AG517" t="str">
        <f>HYPERLINK("https://finance.naver.com/item/fchart.naver?code=006730", "서부T&amp;D 차트보기")</f>
        <v>서부T&amp;D 차트보기</v>
      </c>
    </row>
    <row r="518" spans="1:33" x14ac:dyDescent="0.3">
      <c r="A518" t="s">
        <v>2099</v>
      </c>
      <c r="B518" t="s">
        <v>55</v>
      </c>
      <c r="C518" t="s">
        <v>2100</v>
      </c>
      <c r="D518">
        <v>422078.76</v>
      </c>
      <c r="E518" t="s">
        <v>2101</v>
      </c>
      <c r="F518">
        <v>0</v>
      </c>
      <c r="G518">
        <v>0.9100000262260437</v>
      </c>
      <c r="H518">
        <v>0</v>
      </c>
      <c r="I518">
        <v>0</v>
      </c>
      <c r="J518" t="s">
        <v>2102</v>
      </c>
      <c r="K518">
        <v>1525</v>
      </c>
      <c r="L518">
        <v>838</v>
      </c>
      <c r="M518">
        <v>-45.05</v>
      </c>
      <c r="N518">
        <v>-4.34</v>
      </c>
      <c r="O518">
        <v>4.8099999999999996</v>
      </c>
      <c r="P518">
        <v>1.34</v>
      </c>
      <c r="Q518">
        <v>-22.91</v>
      </c>
      <c r="R518">
        <v>4.7</v>
      </c>
      <c r="S518">
        <v>-23.22</v>
      </c>
      <c r="T518">
        <v>3.44</v>
      </c>
      <c r="U518">
        <v>3.62</v>
      </c>
      <c r="V518">
        <v>3.27</v>
      </c>
      <c r="W518">
        <v>11.12</v>
      </c>
      <c r="X518">
        <v>7.98</v>
      </c>
      <c r="Y518">
        <v>3.23</v>
      </c>
      <c r="Z518">
        <v>1.26</v>
      </c>
      <c r="AA518">
        <v>1.33</v>
      </c>
      <c r="AB518">
        <v>0.41</v>
      </c>
      <c r="AC518">
        <v>2.06</v>
      </c>
      <c r="AD518">
        <v>0.59</v>
      </c>
      <c r="AE518">
        <v>7.19</v>
      </c>
      <c r="AF518">
        <v>2.14</v>
      </c>
      <c r="AG518" t="str">
        <f>HYPERLINK("https://finance.naver.com/item/fchart.naver?code=348080", "큐라티스 차트보기")</f>
        <v>큐라티스 차트보기</v>
      </c>
    </row>
    <row r="519" spans="1:33" x14ac:dyDescent="0.3">
      <c r="A519" t="s">
        <v>2103</v>
      </c>
      <c r="B519" t="s">
        <v>55</v>
      </c>
      <c r="C519" t="s">
        <v>2104</v>
      </c>
      <c r="D519">
        <v>168142.38</v>
      </c>
      <c r="E519" t="s">
        <v>2105</v>
      </c>
      <c r="F519">
        <v>0</v>
      </c>
      <c r="G519">
        <v>1.929999947547913</v>
      </c>
      <c r="H519">
        <v>0</v>
      </c>
      <c r="I519">
        <v>0</v>
      </c>
      <c r="J519" t="s">
        <v>2106</v>
      </c>
      <c r="K519">
        <v>5560</v>
      </c>
      <c r="L519">
        <v>3305</v>
      </c>
      <c r="M519">
        <v>-40.56</v>
      </c>
      <c r="N519">
        <v>3.12</v>
      </c>
      <c r="O519">
        <v>-8.76</v>
      </c>
      <c r="P519">
        <v>-5.41</v>
      </c>
      <c r="Q519">
        <v>-0.74</v>
      </c>
      <c r="R519">
        <v>56.92</v>
      </c>
      <c r="S519">
        <v>-4.4800000000000004</v>
      </c>
      <c r="T519">
        <v>1.66</v>
      </c>
      <c r="U519">
        <v>5.39</v>
      </c>
      <c r="V519">
        <v>5.12</v>
      </c>
      <c r="W519">
        <v>6.05</v>
      </c>
      <c r="X519">
        <v>8.51</v>
      </c>
      <c r="Y519">
        <v>3.06</v>
      </c>
      <c r="Z519">
        <v>1.88</v>
      </c>
      <c r="AA519">
        <v>1.63</v>
      </c>
      <c r="AB519">
        <v>1.06</v>
      </c>
      <c r="AC519">
        <v>0.12</v>
      </c>
      <c r="AD519">
        <v>6.69</v>
      </c>
      <c r="AE519">
        <v>1.46</v>
      </c>
      <c r="AF519">
        <v>2.14</v>
      </c>
      <c r="AG519" t="str">
        <f>HYPERLINK("https://finance.naver.com/item/fchart.naver?code=290720", "푸드나무 차트보기")</f>
        <v>푸드나무 차트보기</v>
      </c>
    </row>
    <row r="520" spans="1:33" x14ac:dyDescent="0.3">
      <c r="A520" t="s">
        <v>2107</v>
      </c>
      <c r="B520" t="s">
        <v>34</v>
      </c>
      <c r="C520" t="s">
        <v>2108</v>
      </c>
      <c r="D520">
        <v>2254676.9</v>
      </c>
      <c r="E520" t="s">
        <v>2109</v>
      </c>
      <c r="F520">
        <v>21.72</v>
      </c>
      <c r="G520">
        <v>3.1700000762939449</v>
      </c>
      <c r="H520">
        <v>1694</v>
      </c>
      <c r="I520">
        <v>0.54000002145767212</v>
      </c>
      <c r="J520" t="s">
        <v>2110</v>
      </c>
      <c r="K520">
        <v>34450</v>
      </c>
      <c r="L520">
        <v>36800</v>
      </c>
      <c r="M520">
        <v>6.82</v>
      </c>
      <c r="N520">
        <v>1.52</v>
      </c>
      <c r="O520">
        <v>52.31</v>
      </c>
      <c r="P520">
        <v>-3.92</v>
      </c>
      <c r="Q520">
        <v>5.78</v>
      </c>
      <c r="R520">
        <v>-3.28</v>
      </c>
      <c r="S520">
        <v>-2.97</v>
      </c>
      <c r="T520">
        <v>10.07</v>
      </c>
      <c r="U520">
        <v>8.25</v>
      </c>
      <c r="V520">
        <v>2.5299999999999998</v>
      </c>
      <c r="W520">
        <v>3.73</v>
      </c>
      <c r="X520">
        <v>2.2999999999999998</v>
      </c>
      <c r="Y520">
        <v>1.63</v>
      </c>
      <c r="Z520">
        <v>0.15</v>
      </c>
      <c r="AA520">
        <v>6.34</v>
      </c>
      <c r="AB520">
        <v>1.55</v>
      </c>
      <c r="AC520">
        <v>1.55</v>
      </c>
      <c r="AD520">
        <v>1.43</v>
      </c>
      <c r="AE520">
        <v>1.82</v>
      </c>
      <c r="AF520">
        <v>2.14</v>
      </c>
      <c r="AG520" t="str">
        <f>HYPERLINK("https://finance.naver.com/item/fchart.naver?code=008930", "한미사이언스 차트보기")</f>
        <v>한미사이언스 차트보기</v>
      </c>
    </row>
    <row r="521" spans="1:33" x14ac:dyDescent="0.3">
      <c r="A521" t="s">
        <v>2111</v>
      </c>
      <c r="B521" t="s">
        <v>55</v>
      </c>
      <c r="C521" t="s">
        <v>2112</v>
      </c>
      <c r="D521">
        <v>21637.33</v>
      </c>
      <c r="E521" t="s">
        <v>2113</v>
      </c>
      <c r="F521">
        <v>0</v>
      </c>
      <c r="G521">
        <v>0.95999997854232788</v>
      </c>
      <c r="H521">
        <v>0</v>
      </c>
      <c r="I521">
        <v>0</v>
      </c>
      <c r="J521" t="s">
        <v>2114</v>
      </c>
      <c r="K521">
        <v>1457</v>
      </c>
      <c r="L521">
        <v>1172</v>
      </c>
      <c r="M521">
        <v>-19.559999999999999</v>
      </c>
      <c r="N521">
        <v>4.74</v>
      </c>
      <c r="O521">
        <v>-3.71</v>
      </c>
      <c r="P521">
        <v>-0.77</v>
      </c>
      <c r="Q521">
        <v>-10.34</v>
      </c>
      <c r="R521">
        <v>-2.98</v>
      </c>
      <c r="S521">
        <v>-4.59</v>
      </c>
      <c r="T521">
        <v>1.45</v>
      </c>
      <c r="U521">
        <v>3.03</v>
      </c>
      <c r="V521">
        <v>1.35</v>
      </c>
      <c r="W521">
        <v>3.28</v>
      </c>
      <c r="X521">
        <v>1.56</v>
      </c>
      <c r="Y521">
        <v>1.68</v>
      </c>
      <c r="Z521">
        <v>3.27</v>
      </c>
      <c r="AA521">
        <v>1.22</v>
      </c>
      <c r="AB521">
        <v>0.56999999999999995</v>
      </c>
      <c r="AC521">
        <v>3.15</v>
      </c>
      <c r="AD521">
        <v>1.91</v>
      </c>
      <c r="AE521">
        <v>2.73</v>
      </c>
      <c r="AF521">
        <v>2.1416666666666671</v>
      </c>
      <c r="AG521" t="str">
        <f>HYPERLINK("https://finance.naver.com/item/fchart.naver?code=070590", "한솔인티큐브 차트보기")</f>
        <v>한솔인티큐브 차트보기</v>
      </c>
    </row>
    <row r="522" spans="1:33" x14ac:dyDescent="0.3">
      <c r="A522" t="s">
        <v>2115</v>
      </c>
      <c r="B522" t="s">
        <v>34</v>
      </c>
      <c r="C522" t="s">
        <v>2116</v>
      </c>
      <c r="D522">
        <v>15952.38</v>
      </c>
      <c r="E522" t="s">
        <v>2117</v>
      </c>
      <c r="F522">
        <v>5.17</v>
      </c>
      <c r="G522">
        <v>0.54000002145767212</v>
      </c>
      <c r="H522">
        <v>2491</v>
      </c>
      <c r="I522">
        <v>3.1099998950958252</v>
      </c>
      <c r="J522" t="s">
        <v>2118</v>
      </c>
      <c r="K522">
        <v>13470</v>
      </c>
      <c r="L522">
        <v>12880</v>
      </c>
      <c r="M522">
        <v>-4.38</v>
      </c>
      <c r="N522">
        <v>5.57</v>
      </c>
      <c r="O522">
        <v>-0.49</v>
      </c>
      <c r="P522">
        <v>0.4</v>
      </c>
      <c r="Q522">
        <v>-9.91</v>
      </c>
      <c r="R522">
        <v>2.36</v>
      </c>
      <c r="S522">
        <v>-5.57</v>
      </c>
      <c r="T522">
        <v>2.4</v>
      </c>
      <c r="U522">
        <v>0.68</v>
      </c>
      <c r="V522">
        <v>1.32</v>
      </c>
      <c r="W522">
        <v>2.5299999999999998</v>
      </c>
      <c r="X522">
        <v>2.08</v>
      </c>
      <c r="Y522">
        <v>1.25</v>
      </c>
      <c r="Z522">
        <v>2.3199999999999998</v>
      </c>
      <c r="AA522">
        <v>0.72</v>
      </c>
      <c r="AB522">
        <v>0.3</v>
      </c>
      <c r="AC522">
        <v>3.92</v>
      </c>
      <c r="AD522">
        <v>1.1299999999999999</v>
      </c>
      <c r="AE522">
        <v>4.46</v>
      </c>
      <c r="AF522">
        <v>2.1416666666666671</v>
      </c>
      <c r="AG522" t="str">
        <f>HYPERLINK("https://finance.naver.com/item/fchart.naver?code=210540", "디와이파워 차트보기")</f>
        <v>디와이파워 차트보기</v>
      </c>
    </row>
    <row r="523" spans="1:33" x14ac:dyDescent="0.3">
      <c r="A523" t="s">
        <v>2119</v>
      </c>
      <c r="B523" t="s">
        <v>55</v>
      </c>
      <c r="C523" t="s">
        <v>2120</v>
      </c>
      <c r="D523">
        <v>26370.52</v>
      </c>
      <c r="E523" t="s">
        <v>2121</v>
      </c>
      <c r="F523">
        <v>0</v>
      </c>
      <c r="G523">
        <v>0</v>
      </c>
      <c r="H523">
        <v>0</v>
      </c>
      <c r="I523">
        <v>0</v>
      </c>
      <c r="J523" t="s">
        <v>2122</v>
      </c>
      <c r="K523">
        <v>2150</v>
      </c>
      <c r="L523">
        <v>2290</v>
      </c>
      <c r="M523">
        <v>6.51</v>
      </c>
      <c r="N523">
        <v>-0.65</v>
      </c>
      <c r="O523">
        <v>4.01</v>
      </c>
      <c r="P523">
        <v>1.61</v>
      </c>
      <c r="Q523">
        <v>-0.46</v>
      </c>
      <c r="R523">
        <v>0.23</v>
      </c>
      <c r="S523">
        <v>3.55</v>
      </c>
      <c r="T523">
        <v>0.82</v>
      </c>
      <c r="U523">
        <v>1.1299999999999999</v>
      </c>
      <c r="V523">
        <v>0.73</v>
      </c>
      <c r="W523">
        <v>0.84</v>
      </c>
      <c r="X523">
        <v>1.1200000000000001</v>
      </c>
      <c r="Y523">
        <v>0.64</v>
      </c>
      <c r="Z523">
        <v>0.79</v>
      </c>
      <c r="AA523">
        <v>3.55</v>
      </c>
      <c r="AB523">
        <v>2.21</v>
      </c>
      <c r="AC523">
        <v>0.55000000000000004</v>
      </c>
      <c r="AD523">
        <v>0.21</v>
      </c>
      <c r="AE523">
        <v>5.55</v>
      </c>
      <c r="AF523">
        <v>2.1433333333333331</v>
      </c>
      <c r="AG523" t="str">
        <f>HYPERLINK("https://finance.naver.com/item/fchart.naver?code=446840", "키움제8호스팩 차트보기")</f>
        <v>키움제8호스팩 차트보기</v>
      </c>
    </row>
    <row r="524" spans="1:33" x14ac:dyDescent="0.3">
      <c r="A524" t="s">
        <v>2123</v>
      </c>
      <c r="B524" t="s">
        <v>55</v>
      </c>
      <c r="C524" t="s">
        <v>2124</v>
      </c>
      <c r="D524">
        <v>224631.14</v>
      </c>
      <c r="E524" t="s">
        <v>2125</v>
      </c>
      <c r="F524">
        <v>14.65</v>
      </c>
      <c r="G524">
        <v>1.049999952316284</v>
      </c>
      <c r="H524">
        <v>96</v>
      </c>
      <c r="I524">
        <v>0</v>
      </c>
      <c r="J524" t="s">
        <v>2126</v>
      </c>
      <c r="K524">
        <v>1959</v>
      </c>
      <c r="L524">
        <v>1406</v>
      </c>
      <c r="M524">
        <v>-28.23</v>
      </c>
      <c r="N524">
        <v>-4.22</v>
      </c>
      <c r="O524">
        <v>0.2</v>
      </c>
      <c r="P524">
        <v>-6.61</v>
      </c>
      <c r="Q524">
        <v>-6.2</v>
      </c>
      <c r="R524">
        <v>-2.2000000000000002</v>
      </c>
      <c r="S524">
        <v>-5.17</v>
      </c>
      <c r="T524">
        <v>1.89</v>
      </c>
      <c r="U524">
        <v>1.76</v>
      </c>
      <c r="V524">
        <v>1.76</v>
      </c>
      <c r="W524">
        <v>4.37</v>
      </c>
      <c r="X524">
        <v>1.82</v>
      </c>
      <c r="Y524">
        <v>1.25</v>
      </c>
      <c r="Z524">
        <v>2.23</v>
      </c>
      <c r="AA524">
        <v>0.11</v>
      </c>
      <c r="AB524">
        <v>3.76</v>
      </c>
      <c r="AC524">
        <v>1.42</v>
      </c>
      <c r="AD524">
        <v>1.21</v>
      </c>
      <c r="AE524">
        <v>4.1399999999999997</v>
      </c>
      <c r="AF524">
        <v>2.145</v>
      </c>
      <c r="AG524" t="str">
        <f>HYPERLINK("https://finance.naver.com/item/fchart.naver?code=299170", "더블유에스아이 차트보기")</f>
        <v>더블유에스아이 차트보기</v>
      </c>
    </row>
    <row r="525" spans="1:33" x14ac:dyDescent="0.3">
      <c r="A525" t="s">
        <v>2127</v>
      </c>
      <c r="B525" t="s">
        <v>55</v>
      </c>
      <c r="C525" t="s">
        <v>2128</v>
      </c>
      <c r="D525">
        <v>106745.19</v>
      </c>
      <c r="E525" t="s">
        <v>2129</v>
      </c>
      <c r="F525">
        <v>85.65</v>
      </c>
      <c r="G525">
        <v>2.559999942779541</v>
      </c>
      <c r="H525">
        <v>62</v>
      </c>
      <c r="I525">
        <v>0</v>
      </c>
      <c r="J525" t="s">
        <v>2130</v>
      </c>
      <c r="K525">
        <v>7640</v>
      </c>
      <c r="L525">
        <v>5310</v>
      </c>
      <c r="M525">
        <v>-30.5</v>
      </c>
      <c r="N525">
        <v>-6.51</v>
      </c>
      <c r="O525">
        <v>-4.21</v>
      </c>
      <c r="P525">
        <v>3.99</v>
      </c>
      <c r="Q525">
        <v>-11.14</v>
      </c>
      <c r="R525">
        <v>-20.75</v>
      </c>
      <c r="S525">
        <v>7.18</v>
      </c>
      <c r="T525">
        <v>2.11</v>
      </c>
      <c r="U525">
        <v>3.13</v>
      </c>
      <c r="V525">
        <v>5.79</v>
      </c>
      <c r="W525">
        <v>5.01</v>
      </c>
      <c r="X525">
        <v>4.82</v>
      </c>
      <c r="Y525">
        <v>5.87</v>
      </c>
      <c r="Z525">
        <v>3.09</v>
      </c>
      <c r="AA525">
        <v>1.35</v>
      </c>
      <c r="AB525">
        <v>0.69</v>
      </c>
      <c r="AC525">
        <v>2.2200000000000002</v>
      </c>
      <c r="AD525">
        <v>4.3</v>
      </c>
      <c r="AE525">
        <v>1.22</v>
      </c>
      <c r="AF525">
        <v>2.145</v>
      </c>
      <c r="AG525" t="str">
        <f>HYPERLINK("https://finance.naver.com/item/fchart.naver?code=080580", "오킨스전자 차트보기")</f>
        <v>오킨스전자 차트보기</v>
      </c>
    </row>
    <row r="526" spans="1:33" x14ac:dyDescent="0.3">
      <c r="A526" t="s">
        <v>2131</v>
      </c>
      <c r="B526" t="s">
        <v>34</v>
      </c>
      <c r="C526" t="s">
        <v>2132</v>
      </c>
      <c r="D526">
        <v>76328.240000000005</v>
      </c>
      <c r="E526" t="s">
        <v>2133</v>
      </c>
      <c r="F526">
        <v>0</v>
      </c>
      <c r="G526">
        <v>0.40999999642372131</v>
      </c>
      <c r="H526">
        <v>0</v>
      </c>
      <c r="I526">
        <v>0</v>
      </c>
      <c r="J526" t="s">
        <v>2134</v>
      </c>
      <c r="K526">
        <v>10760</v>
      </c>
      <c r="L526">
        <v>8250</v>
      </c>
      <c r="M526">
        <v>-23.33</v>
      </c>
      <c r="N526">
        <v>3.25</v>
      </c>
      <c r="O526">
        <v>0.5</v>
      </c>
      <c r="P526">
        <v>-4.43</v>
      </c>
      <c r="Q526">
        <v>-11.85</v>
      </c>
      <c r="R526">
        <v>9.66</v>
      </c>
      <c r="S526">
        <v>-8.8000000000000007</v>
      </c>
      <c r="T526">
        <v>2.06</v>
      </c>
      <c r="U526">
        <v>1.82</v>
      </c>
      <c r="V526">
        <v>1.8</v>
      </c>
      <c r="W526">
        <v>3.9</v>
      </c>
      <c r="X526">
        <v>3.75</v>
      </c>
      <c r="Y526">
        <v>2.98</v>
      </c>
      <c r="Z526">
        <v>1.58</v>
      </c>
      <c r="AA526">
        <v>0.27</v>
      </c>
      <c r="AB526">
        <v>2.46</v>
      </c>
      <c r="AC526">
        <v>3.04</v>
      </c>
      <c r="AD526">
        <v>2.58</v>
      </c>
      <c r="AE526">
        <v>2.95</v>
      </c>
      <c r="AF526">
        <v>2.1466666666666669</v>
      </c>
      <c r="AG526" t="str">
        <f>HYPERLINK("https://finance.naver.com/item/fchart.naver?code=079430", "현대리바트 차트보기")</f>
        <v>현대리바트 차트보기</v>
      </c>
    </row>
    <row r="527" spans="1:33" x14ac:dyDescent="0.3">
      <c r="A527" t="s">
        <v>2135</v>
      </c>
      <c r="B527" t="s">
        <v>55</v>
      </c>
      <c r="C527" t="s">
        <v>2136</v>
      </c>
      <c r="D527">
        <v>27404.29</v>
      </c>
      <c r="E527" t="s">
        <v>2137</v>
      </c>
      <c r="F527">
        <v>136.47999999999999</v>
      </c>
      <c r="G527">
        <v>1.570000052452087</v>
      </c>
      <c r="H527">
        <v>54</v>
      </c>
      <c r="I527">
        <v>0</v>
      </c>
      <c r="J527" t="s">
        <v>2138</v>
      </c>
      <c r="K527">
        <v>11330</v>
      </c>
      <c r="L527">
        <v>7370</v>
      </c>
      <c r="M527">
        <v>-34.950000000000003</v>
      </c>
      <c r="N527">
        <v>-2.25</v>
      </c>
      <c r="O527">
        <v>-5.84</v>
      </c>
      <c r="P527">
        <v>-8.24</v>
      </c>
      <c r="Q527">
        <v>-4.6399999999999997</v>
      </c>
      <c r="R527">
        <v>-7.57</v>
      </c>
      <c r="S527">
        <v>-5.1100000000000003</v>
      </c>
      <c r="T527">
        <v>2.9</v>
      </c>
      <c r="U527">
        <v>1.95</v>
      </c>
      <c r="V527">
        <v>2.99</v>
      </c>
      <c r="W527">
        <v>4.79</v>
      </c>
      <c r="X527">
        <v>2</v>
      </c>
      <c r="Y527">
        <v>3.22</v>
      </c>
      <c r="Z527">
        <v>0.78</v>
      </c>
      <c r="AA527">
        <v>2.99</v>
      </c>
      <c r="AB527">
        <v>2.76</v>
      </c>
      <c r="AC527">
        <v>0.97</v>
      </c>
      <c r="AD527">
        <v>3.79</v>
      </c>
      <c r="AE527">
        <v>1.59</v>
      </c>
      <c r="AF527">
        <v>2.1466666666666669</v>
      </c>
      <c r="AG527" t="str">
        <f>HYPERLINK("https://finance.naver.com/item/fchart.naver?code=059120", "아진엑스텍 차트보기")</f>
        <v>아진엑스텍 차트보기</v>
      </c>
    </row>
    <row r="528" spans="1:33" x14ac:dyDescent="0.3">
      <c r="A528" t="s">
        <v>2139</v>
      </c>
      <c r="B528" t="s">
        <v>34</v>
      </c>
      <c r="C528" t="s">
        <v>2140</v>
      </c>
      <c r="D528">
        <v>35783.519999999997</v>
      </c>
      <c r="E528" t="s">
        <v>2141</v>
      </c>
      <c r="F528">
        <v>3.85</v>
      </c>
      <c r="G528">
        <v>0.25999999046325678</v>
      </c>
      <c r="H528">
        <v>899</v>
      </c>
      <c r="I528">
        <v>1.7300000190734861</v>
      </c>
      <c r="J528" t="s">
        <v>2142</v>
      </c>
      <c r="K528">
        <v>4215</v>
      </c>
      <c r="L528">
        <v>3460</v>
      </c>
      <c r="M528">
        <v>-17.91</v>
      </c>
      <c r="N528">
        <v>-2.54</v>
      </c>
      <c r="O528">
        <v>-4.63</v>
      </c>
      <c r="P528">
        <v>-5.03</v>
      </c>
      <c r="Q528">
        <v>-8.99</v>
      </c>
      <c r="R528">
        <v>0</v>
      </c>
      <c r="S528">
        <v>-8.83</v>
      </c>
      <c r="T528">
        <v>1.54</v>
      </c>
      <c r="U528">
        <v>1.27</v>
      </c>
      <c r="V528">
        <v>2.0499999999999998</v>
      </c>
      <c r="W528">
        <v>2.56</v>
      </c>
      <c r="X528">
        <v>1.71</v>
      </c>
      <c r="Y528">
        <v>5.45</v>
      </c>
      <c r="Z528">
        <v>1.65</v>
      </c>
      <c r="AA528">
        <v>3.65</v>
      </c>
      <c r="AB528">
        <v>2.4500000000000002</v>
      </c>
      <c r="AC528">
        <v>3.51</v>
      </c>
      <c r="AD528">
        <v>0</v>
      </c>
      <c r="AE528">
        <v>1.62</v>
      </c>
      <c r="AF528">
        <v>2.1466666666666669</v>
      </c>
      <c r="AG528" t="str">
        <f>HYPERLINK("https://finance.naver.com/item/fchart.naver?code=069730", "DSR제강 차트보기")</f>
        <v>DSR제강 차트보기</v>
      </c>
    </row>
    <row r="529" spans="1:33" x14ac:dyDescent="0.3">
      <c r="A529" t="s">
        <v>2143</v>
      </c>
      <c r="B529" t="s">
        <v>34</v>
      </c>
      <c r="C529" t="s">
        <v>2144</v>
      </c>
      <c r="D529">
        <v>38972.29</v>
      </c>
      <c r="E529" t="s">
        <v>2145</v>
      </c>
      <c r="F529">
        <v>22.5</v>
      </c>
      <c r="G529">
        <v>0.52999997138977051</v>
      </c>
      <c r="H529">
        <v>216</v>
      </c>
      <c r="I529">
        <v>0</v>
      </c>
      <c r="J529" t="s">
        <v>2146</v>
      </c>
      <c r="K529">
        <v>5710</v>
      </c>
      <c r="L529">
        <v>4860</v>
      </c>
      <c r="M529">
        <v>-14.89</v>
      </c>
      <c r="N529">
        <v>-3.95</v>
      </c>
      <c r="O529">
        <v>-0.77</v>
      </c>
      <c r="P529">
        <v>-0.92</v>
      </c>
      <c r="Q529">
        <v>-20.09</v>
      </c>
      <c r="R529">
        <v>-22.71</v>
      </c>
      <c r="S529">
        <v>-6.07</v>
      </c>
      <c r="T529">
        <v>2.11</v>
      </c>
      <c r="U529">
        <v>1.43</v>
      </c>
      <c r="V529">
        <v>1.91</v>
      </c>
      <c r="W529">
        <v>4.5999999999999996</v>
      </c>
      <c r="X529">
        <v>4.5999999999999996</v>
      </c>
      <c r="Y529">
        <v>8.7799999999999994</v>
      </c>
      <c r="Z529">
        <v>1.87</v>
      </c>
      <c r="AA529">
        <v>0.54</v>
      </c>
      <c r="AB529">
        <v>0.48</v>
      </c>
      <c r="AC529">
        <v>4.37</v>
      </c>
      <c r="AD529">
        <v>4.9400000000000004</v>
      </c>
      <c r="AE529">
        <v>0.69</v>
      </c>
      <c r="AF529">
        <v>2.148333333333333</v>
      </c>
      <c r="AG529" t="str">
        <f>HYPERLINK("https://finance.naver.com/item/fchart.naver?code=003680", "한성기업 차트보기")</f>
        <v>한성기업 차트보기</v>
      </c>
    </row>
    <row r="530" spans="1:33" x14ac:dyDescent="0.3">
      <c r="A530" t="s">
        <v>2147</v>
      </c>
      <c r="B530" t="s">
        <v>34</v>
      </c>
      <c r="C530" t="s">
        <v>2148</v>
      </c>
      <c r="D530">
        <v>114.14</v>
      </c>
      <c r="E530" t="s">
        <v>2149</v>
      </c>
      <c r="F530">
        <v>0</v>
      </c>
      <c r="G530">
        <v>0</v>
      </c>
      <c r="H530">
        <v>0</v>
      </c>
      <c r="I530">
        <v>1.6499999761581421</v>
      </c>
      <c r="J530" t="s">
        <v>2150</v>
      </c>
      <c r="K530">
        <v>23900</v>
      </c>
      <c r="L530">
        <v>21250</v>
      </c>
      <c r="M530">
        <v>-11.09</v>
      </c>
      <c r="N530">
        <v>-2.52</v>
      </c>
      <c r="O530">
        <v>-4.41</v>
      </c>
      <c r="P530">
        <v>-1.3</v>
      </c>
      <c r="Q530">
        <v>2.65</v>
      </c>
      <c r="R530">
        <v>0.66</v>
      </c>
      <c r="S530">
        <v>1.32</v>
      </c>
      <c r="T530">
        <v>2.27</v>
      </c>
      <c r="U530">
        <v>0.88</v>
      </c>
      <c r="V530">
        <v>0.82</v>
      </c>
      <c r="W530">
        <v>0.7</v>
      </c>
      <c r="X530">
        <v>0.81</v>
      </c>
      <c r="Y530">
        <v>2.2000000000000002</v>
      </c>
      <c r="Z530">
        <v>1.1100000000000001</v>
      </c>
      <c r="AA530">
        <v>5.01</v>
      </c>
      <c r="AB530">
        <v>1.59</v>
      </c>
      <c r="AC530">
        <v>3.79</v>
      </c>
      <c r="AD530">
        <v>0.81</v>
      </c>
      <c r="AE530">
        <v>0.6</v>
      </c>
      <c r="AF530">
        <v>2.1516666666666668</v>
      </c>
      <c r="AG530" t="str">
        <f>HYPERLINK("https://finance.naver.com/item/fchart.naver?code=005965", "동부건설우 차트보기")</f>
        <v>동부건설우 차트보기</v>
      </c>
    </row>
    <row r="531" spans="1:33" x14ac:dyDescent="0.3">
      <c r="A531" t="s">
        <v>2151</v>
      </c>
      <c r="B531" t="s">
        <v>34</v>
      </c>
      <c r="C531" t="s">
        <v>2152</v>
      </c>
      <c r="D531">
        <v>127539.9</v>
      </c>
      <c r="E531" t="s">
        <v>2153</v>
      </c>
      <c r="F531">
        <v>0</v>
      </c>
      <c r="G531">
        <v>1.419999957084656</v>
      </c>
      <c r="H531">
        <v>0</v>
      </c>
      <c r="I531">
        <v>0</v>
      </c>
      <c r="J531" t="s">
        <v>2154</v>
      </c>
      <c r="K531">
        <v>6720</v>
      </c>
      <c r="L531">
        <v>4685</v>
      </c>
      <c r="M531">
        <v>-30.28</v>
      </c>
      <c r="N531">
        <v>-2.9</v>
      </c>
      <c r="O531">
        <v>-2.89</v>
      </c>
      <c r="P531">
        <v>-0.98</v>
      </c>
      <c r="Q531">
        <v>-5.13</v>
      </c>
      <c r="R531">
        <v>-1.66</v>
      </c>
      <c r="S531">
        <v>-7.63</v>
      </c>
      <c r="T531">
        <v>1.62</v>
      </c>
      <c r="U531">
        <v>1.2</v>
      </c>
      <c r="V531">
        <v>2.94</v>
      </c>
      <c r="W531">
        <v>3.5</v>
      </c>
      <c r="X531">
        <v>1.46</v>
      </c>
      <c r="Y531">
        <v>1.32</v>
      </c>
      <c r="Z531">
        <v>1.79</v>
      </c>
      <c r="AA531">
        <v>2.41</v>
      </c>
      <c r="AB531">
        <v>0.33</v>
      </c>
      <c r="AC531">
        <v>1.47</v>
      </c>
      <c r="AD531">
        <v>1.1399999999999999</v>
      </c>
      <c r="AE531">
        <v>5.78</v>
      </c>
      <c r="AF531">
        <v>2.1533333333333329</v>
      </c>
      <c r="AG531" t="str">
        <f>HYPERLINK("https://finance.naver.com/item/fchart.naver?code=003000", "부광약품 차트보기")</f>
        <v>부광약품 차트보기</v>
      </c>
    </row>
    <row r="532" spans="1:33" x14ac:dyDescent="0.3">
      <c r="A532" t="s">
        <v>2155</v>
      </c>
      <c r="B532" t="s">
        <v>55</v>
      </c>
      <c r="C532" t="s">
        <v>2156</v>
      </c>
      <c r="D532">
        <v>611932.62</v>
      </c>
      <c r="E532" t="s">
        <v>2157</v>
      </c>
      <c r="F532">
        <v>9.2899999999999991</v>
      </c>
      <c r="G532">
        <v>0.5</v>
      </c>
      <c r="H532">
        <v>105</v>
      </c>
      <c r="I532">
        <v>0</v>
      </c>
      <c r="J532" t="s">
        <v>2158</v>
      </c>
      <c r="K532">
        <v>1194</v>
      </c>
      <c r="L532">
        <v>975</v>
      </c>
      <c r="M532">
        <v>-18.34</v>
      </c>
      <c r="N532">
        <v>-4.97</v>
      </c>
      <c r="O532">
        <v>-1.82</v>
      </c>
      <c r="P532">
        <v>-8.33</v>
      </c>
      <c r="Q532">
        <v>5.44</v>
      </c>
      <c r="R532">
        <v>0.54</v>
      </c>
      <c r="S532">
        <v>-3.06</v>
      </c>
      <c r="T532">
        <v>1.37</v>
      </c>
      <c r="U532">
        <v>1.88</v>
      </c>
      <c r="V532">
        <v>4.55</v>
      </c>
      <c r="W532">
        <v>4</v>
      </c>
      <c r="X532">
        <v>0.75</v>
      </c>
      <c r="Y532">
        <v>0.69</v>
      </c>
      <c r="Z532">
        <v>3.63</v>
      </c>
      <c r="AA532">
        <v>0.97</v>
      </c>
      <c r="AB532">
        <v>1.83</v>
      </c>
      <c r="AC532">
        <v>1.36</v>
      </c>
      <c r="AD532">
        <v>0.72</v>
      </c>
      <c r="AE532">
        <v>4.43</v>
      </c>
      <c r="AF532">
        <v>2.1566666666666672</v>
      </c>
      <c r="AG532" t="str">
        <f>HYPERLINK("https://finance.naver.com/item/fchart.naver?code=022220", "TKG애강 차트보기")</f>
        <v>TKG애강 차트보기</v>
      </c>
    </row>
    <row r="533" spans="1:33" x14ac:dyDescent="0.3">
      <c r="A533" t="s">
        <v>2159</v>
      </c>
      <c r="B533" t="s">
        <v>55</v>
      </c>
      <c r="C533" t="s">
        <v>2160</v>
      </c>
      <c r="D533">
        <v>154340.71</v>
      </c>
      <c r="E533" t="s">
        <v>2161</v>
      </c>
      <c r="F533">
        <v>8.7899999999999991</v>
      </c>
      <c r="G533">
        <v>1.200000047683716</v>
      </c>
      <c r="H533">
        <v>354</v>
      </c>
      <c r="I533">
        <v>0</v>
      </c>
      <c r="J533" t="s">
        <v>2162</v>
      </c>
      <c r="K533">
        <v>2715</v>
      </c>
      <c r="L533">
        <v>3110</v>
      </c>
      <c r="M533">
        <v>14.55</v>
      </c>
      <c r="N533">
        <v>5.42</v>
      </c>
      <c r="O533">
        <v>8.61</v>
      </c>
      <c r="P533">
        <v>2.69</v>
      </c>
      <c r="Q533">
        <v>-11.52</v>
      </c>
      <c r="R533">
        <v>6.74</v>
      </c>
      <c r="S533">
        <v>3.21</v>
      </c>
      <c r="T533">
        <v>3.7</v>
      </c>
      <c r="U533">
        <v>2.8</v>
      </c>
      <c r="V533">
        <v>2.04</v>
      </c>
      <c r="W533">
        <v>3.98</v>
      </c>
      <c r="X533">
        <v>2.31</v>
      </c>
      <c r="Y533">
        <v>2.5099999999999998</v>
      </c>
      <c r="Z533">
        <v>1.46</v>
      </c>
      <c r="AA533">
        <v>3.08</v>
      </c>
      <c r="AB533">
        <v>1.32</v>
      </c>
      <c r="AC533">
        <v>2.89</v>
      </c>
      <c r="AD533">
        <v>2.92</v>
      </c>
      <c r="AE533">
        <v>1.28</v>
      </c>
      <c r="AF533">
        <v>2.1583333333333332</v>
      </c>
      <c r="AG533" t="str">
        <f>HYPERLINK("https://finance.naver.com/item/fchart.naver?code=099410", "동방선기 차트보기")</f>
        <v>동방선기 차트보기</v>
      </c>
    </row>
    <row r="534" spans="1:33" x14ac:dyDescent="0.3">
      <c r="A534" t="s">
        <v>2163</v>
      </c>
      <c r="B534" t="s">
        <v>55</v>
      </c>
      <c r="C534" t="s">
        <v>2164</v>
      </c>
      <c r="D534">
        <v>2566012.5699999998</v>
      </c>
      <c r="E534" t="s">
        <v>2165</v>
      </c>
      <c r="F534">
        <v>10.9</v>
      </c>
      <c r="G534">
        <v>0.50999999046325684</v>
      </c>
      <c r="H534">
        <v>29</v>
      </c>
      <c r="I534">
        <v>0</v>
      </c>
      <c r="J534" t="s">
        <v>2166</v>
      </c>
      <c r="K534">
        <v>383</v>
      </c>
      <c r="L534">
        <v>316</v>
      </c>
      <c r="M534">
        <v>-17.489999999999998</v>
      </c>
      <c r="N534">
        <v>2.27</v>
      </c>
      <c r="O534">
        <v>6.33</v>
      </c>
      <c r="P534">
        <v>-5.21</v>
      </c>
      <c r="Q534">
        <v>1.86</v>
      </c>
      <c r="R534">
        <v>-0.93</v>
      </c>
      <c r="S534">
        <v>-7.95</v>
      </c>
      <c r="T534">
        <v>3.79</v>
      </c>
      <c r="U534">
        <v>4.4000000000000004</v>
      </c>
      <c r="V534">
        <v>1.35</v>
      </c>
      <c r="W534">
        <v>1.99</v>
      </c>
      <c r="X534">
        <v>2.0699999999999998</v>
      </c>
      <c r="Y534">
        <v>1.4</v>
      </c>
      <c r="Z534">
        <v>0.6</v>
      </c>
      <c r="AA534">
        <v>1.44</v>
      </c>
      <c r="AB534">
        <v>3.86</v>
      </c>
      <c r="AC534">
        <v>0.93</v>
      </c>
      <c r="AD534">
        <v>0.45</v>
      </c>
      <c r="AE534">
        <v>5.68</v>
      </c>
      <c r="AF534">
        <v>2.16</v>
      </c>
      <c r="AG534" t="str">
        <f>HYPERLINK("https://finance.naver.com/item/fchart.naver?code=042040", "케이피엠테크 차트보기")</f>
        <v>케이피엠테크 차트보기</v>
      </c>
    </row>
    <row r="535" spans="1:33" x14ac:dyDescent="0.3">
      <c r="A535" t="s">
        <v>2167</v>
      </c>
      <c r="B535" t="s">
        <v>34</v>
      </c>
      <c r="C535" t="s">
        <v>2168</v>
      </c>
      <c r="D535">
        <v>14806.33</v>
      </c>
      <c r="E535" t="s">
        <v>2169</v>
      </c>
      <c r="F535">
        <v>2.42</v>
      </c>
      <c r="G535">
        <v>0.10000000149011611</v>
      </c>
      <c r="H535">
        <v>2757</v>
      </c>
      <c r="I535">
        <v>1.5</v>
      </c>
      <c r="J535" t="s">
        <v>2170</v>
      </c>
      <c r="K535">
        <v>6830</v>
      </c>
      <c r="L535">
        <v>6670</v>
      </c>
      <c r="M535">
        <v>-2.34</v>
      </c>
      <c r="N535">
        <v>-0.89</v>
      </c>
      <c r="O535">
        <v>-1.75</v>
      </c>
      <c r="P535">
        <v>-2.1</v>
      </c>
      <c r="Q535">
        <v>-1.1000000000000001</v>
      </c>
      <c r="R535">
        <v>10.18</v>
      </c>
      <c r="S535">
        <v>-2.19</v>
      </c>
      <c r="T535">
        <v>1.02</v>
      </c>
      <c r="U535">
        <v>0.84</v>
      </c>
      <c r="V535">
        <v>1.39</v>
      </c>
      <c r="W535">
        <v>3.09</v>
      </c>
      <c r="X535">
        <v>1.92</v>
      </c>
      <c r="Y535">
        <v>0.77</v>
      </c>
      <c r="Z535">
        <v>0.87</v>
      </c>
      <c r="AA535">
        <v>2.08</v>
      </c>
      <c r="AB535">
        <v>1.51</v>
      </c>
      <c r="AC535">
        <v>0.36</v>
      </c>
      <c r="AD535">
        <v>5.3</v>
      </c>
      <c r="AE535">
        <v>2.84</v>
      </c>
      <c r="AF535">
        <v>2.16</v>
      </c>
      <c r="AG535" t="str">
        <f>HYPERLINK("https://finance.naver.com/item/fchart.naver?code=004960", "한신공영 차트보기")</f>
        <v>한신공영 차트보기</v>
      </c>
    </row>
    <row r="536" spans="1:33" x14ac:dyDescent="0.3">
      <c r="A536" t="s">
        <v>2171</v>
      </c>
      <c r="B536" t="s">
        <v>34</v>
      </c>
      <c r="C536" t="s">
        <v>2172</v>
      </c>
      <c r="D536">
        <v>18907.189999999999</v>
      </c>
      <c r="E536" t="s">
        <v>2173</v>
      </c>
      <c r="F536">
        <v>3.49</v>
      </c>
      <c r="G536">
        <v>0.31000000238418579</v>
      </c>
      <c r="H536">
        <v>5237</v>
      </c>
      <c r="I536">
        <v>3.8299999237060551</v>
      </c>
      <c r="J536" t="s">
        <v>2174</v>
      </c>
      <c r="K536">
        <v>19410</v>
      </c>
      <c r="L536">
        <v>18260</v>
      </c>
      <c r="M536">
        <v>-5.92</v>
      </c>
      <c r="N536">
        <v>-1.24</v>
      </c>
      <c r="O536">
        <v>-0.22</v>
      </c>
      <c r="P536">
        <v>2.95</v>
      </c>
      <c r="Q536">
        <v>-4.8499999999999996</v>
      </c>
      <c r="R536">
        <v>-0.9</v>
      </c>
      <c r="S536">
        <v>-4.16</v>
      </c>
      <c r="T536">
        <v>0.5</v>
      </c>
      <c r="U536">
        <v>0.48</v>
      </c>
      <c r="V536">
        <v>1.08</v>
      </c>
      <c r="W536">
        <v>1.95</v>
      </c>
      <c r="X536">
        <v>1.19</v>
      </c>
      <c r="Y536">
        <v>1.03</v>
      </c>
      <c r="Z536">
        <v>2.48</v>
      </c>
      <c r="AA536">
        <v>0.46</v>
      </c>
      <c r="AB536">
        <v>2.73</v>
      </c>
      <c r="AC536">
        <v>2.4900000000000002</v>
      </c>
      <c r="AD536">
        <v>0.76</v>
      </c>
      <c r="AE536">
        <v>4.04</v>
      </c>
      <c r="AF536">
        <v>2.16</v>
      </c>
      <c r="AG536" t="str">
        <f>HYPERLINK("https://finance.naver.com/item/fchart.naver?code=023590", "다우기술 차트보기")</f>
        <v>다우기술 차트보기</v>
      </c>
    </row>
    <row r="537" spans="1:33" x14ac:dyDescent="0.3">
      <c r="A537" t="s">
        <v>2175</v>
      </c>
      <c r="B537" t="s">
        <v>55</v>
      </c>
      <c r="C537" t="s">
        <v>2176</v>
      </c>
      <c r="D537">
        <v>595190.24</v>
      </c>
      <c r="E537" t="s">
        <v>2177</v>
      </c>
      <c r="F537">
        <v>0</v>
      </c>
      <c r="G537">
        <v>1.2899999618530269</v>
      </c>
      <c r="H537">
        <v>0</v>
      </c>
      <c r="I537">
        <v>0</v>
      </c>
      <c r="J537" t="s">
        <v>2178</v>
      </c>
      <c r="K537">
        <v>3590</v>
      </c>
      <c r="L537">
        <v>2710</v>
      </c>
      <c r="M537">
        <v>-24.51</v>
      </c>
      <c r="N537">
        <v>-2.69</v>
      </c>
      <c r="O537">
        <v>-8.82</v>
      </c>
      <c r="P537">
        <v>-15.56</v>
      </c>
      <c r="Q537">
        <v>34.06</v>
      </c>
      <c r="R537">
        <v>-1.1599999999999999</v>
      </c>
      <c r="S537">
        <v>-6.87</v>
      </c>
      <c r="T537">
        <v>1.2</v>
      </c>
      <c r="U537">
        <v>7.52</v>
      </c>
      <c r="V537">
        <v>6.73</v>
      </c>
      <c r="W537">
        <v>11.72</v>
      </c>
      <c r="X537">
        <v>1.75</v>
      </c>
      <c r="Y537">
        <v>1.87</v>
      </c>
      <c r="Z537">
        <v>2.2400000000000002</v>
      </c>
      <c r="AA537">
        <v>1.17</v>
      </c>
      <c r="AB537">
        <v>2.31</v>
      </c>
      <c r="AC537">
        <v>2.91</v>
      </c>
      <c r="AD537">
        <v>0.66</v>
      </c>
      <c r="AE537">
        <v>3.67</v>
      </c>
      <c r="AF537">
        <v>2.16</v>
      </c>
      <c r="AG537" t="str">
        <f>HYPERLINK("https://finance.naver.com/item/fchart.naver?code=188260", "세니젠 차트보기")</f>
        <v>세니젠 차트보기</v>
      </c>
    </row>
    <row r="538" spans="1:33" x14ac:dyDescent="0.3">
      <c r="A538" t="s">
        <v>2179</v>
      </c>
      <c r="B538" t="s">
        <v>55</v>
      </c>
      <c r="C538" t="s">
        <v>2180</v>
      </c>
      <c r="D538">
        <v>92100.86</v>
      </c>
      <c r="E538" t="s">
        <v>2181</v>
      </c>
      <c r="F538">
        <v>1.65</v>
      </c>
      <c r="G538">
        <v>0.69999998807907104</v>
      </c>
      <c r="H538">
        <v>4212</v>
      </c>
      <c r="I538">
        <v>4.3299999237060547</v>
      </c>
      <c r="J538" t="s">
        <v>2182</v>
      </c>
      <c r="K538">
        <v>7150</v>
      </c>
      <c r="L538">
        <v>6930</v>
      </c>
      <c r="M538">
        <v>-3.08</v>
      </c>
      <c r="N538">
        <v>9.31</v>
      </c>
      <c r="O538">
        <v>-2.2799999999999998</v>
      </c>
      <c r="P538">
        <v>-2.09</v>
      </c>
      <c r="Q538">
        <v>-13.53</v>
      </c>
      <c r="R538">
        <v>4.5</v>
      </c>
      <c r="S538">
        <v>3.82</v>
      </c>
      <c r="T538">
        <v>2.74</v>
      </c>
      <c r="U538">
        <v>1.56</v>
      </c>
      <c r="V538">
        <v>2.5</v>
      </c>
      <c r="W538">
        <v>3.68</v>
      </c>
      <c r="X538">
        <v>3.07</v>
      </c>
      <c r="Y538">
        <v>1.8</v>
      </c>
      <c r="Z538">
        <v>3.4</v>
      </c>
      <c r="AA538">
        <v>1.46</v>
      </c>
      <c r="AB538">
        <v>0.84</v>
      </c>
      <c r="AC538">
        <v>3.68</v>
      </c>
      <c r="AD538">
        <v>1.47</v>
      </c>
      <c r="AE538">
        <v>2.12</v>
      </c>
      <c r="AF538">
        <v>2.1616666666666671</v>
      </c>
      <c r="AG538" t="str">
        <f>HYPERLINK("https://finance.naver.com/item/fchart.naver?code=092460", "한라IMS 차트보기")</f>
        <v>한라IMS 차트보기</v>
      </c>
    </row>
    <row r="539" spans="1:33" x14ac:dyDescent="0.3">
      <c r="A539" t="s">
        <v>2183</v>
      </c>
      <c r="B539" t="s">
        <v>55</v>
      </c>
      <c r="C539" t="s">
        <v>2184</v>
      </c>
      <c r="D539">
        <v>1811526</v>
      </c>
      <c r="E539" t="s">
        <v>2185</v>
      </c>
      <c r="F539">
        <v>33.770000000000003</v>
      </c>
      <c r="G539">
        <v>4.820000171661377</v>
      </c>
      <c r="H539">
        <v>231</v>
      </c>
      <c r="I539">
        <v>2.309999942779541</v>
      </c>
      <c r="J539" t="s">
        <v>2186</v>
      </c>
      <c r="K539">
        <v>7100</v>
      </c>
      <c r="L539">
        <v>7800</v>
      </c>
      <c r="M539">
        <v>9.86</v>
      </c>
      <c r="N539">
        <v>8.48</v>
      </c>
      <c r="O539">
        <v>32.76</v>
      </c>
      <c r="P539">
        <v>-4.74</v>
      </c>
      <c r="Q539">
        <v>-0.96</v>
      </c>
      <c r="R539">
        <v>-6.63</v>
      </c>
      <c r="S539">
        <v>0.76</v>
      </c>
      <c r="T539">
        <v>5.35</v>
      </c>
      <c r="U539">
        <v>8</v>
      </c>
      <c r="V539">
        <v>3.24</v>
      </c>
      <c r="W539">
        <v>5.87</v>
      </c>
      <c r="X539">
        <v>1.2</v>
      </c>
      <c r="Y539">
        <v>5.23</v>
      </c>
      <c r="Z539">
        <v>1.59</v>
      </c>
      <c r="AA539">
        <v>4.09</v>
      </c>
      <c r="AB539">
        <v>1.46</v>
      </c>
      <c r="AC539">
        <v>0.16</v>
      </c>
      <c r="AD539">
        <v>5.53</v>
      </c>
      <c r="AE539">
        <v>0.15</v>
      </c>
      <c r="AF539">
        <v>2.163333333333334</v>
      </c>
      <c r="AG539" t="str">
        <f>HYPERLINK("https://finance.naver.com/item/fchart.naver?code=115500", "케이씨에스 차트보기")</f>
        <v>케이씨에스 차트보기</v>
      </c>
    </row>
    <row r="540" spans="1:33" x14ac:dyDescent="0.3">
      <c r="A540" t="s">
        <v>2187</v>
      </c>
      <c r="B540" t="s">
        <v>34</v>
      </c>
      <c r="C540" t="s">
        <v>2188</v>
      </c>
      <c r="D540">
        <v>3581143.95</v>
      </c>
      <c r="E540" t="s">
        <v>2189</v>
      </c>
      <c r="F540">
        <v>0</v>
      </c>
      <c r="G540">
        <v>4.6399998664855957</v>
      </c>
      <c r="H540">
        <v>0</v>
      </c>
      <c r="I540">
        <v>0</v>
      </c>
      <c r="J540" t="s">
        <v>2190</v>
      </c>
      <c r="K540">
        <v>1188</v>
      </c>
      <c r="L540">
        <v>1550</v>
      </c>
      <c r="M540">
        <v>30.47</v>
      </c>
      <c r="N540">
        <v>1.77</v>
      </c>
      <c r="O540">
        <v>17.149999999999999</v>
      </c>
      <c r="P540">
        <v>5.28</v>
      </c>
      <c r="Q540">
        <v>11.99</v>
      </c>
      <c r="R540">
        <v>12.32</v>
      </c>
      <c r="S540">
        <v>-11.26</v>
      </c>
      <c r="T540">
        <v>6.14</v>
      </c>
      <c r="U540">
        <v>9.7200000000000006</v>
      </c>
      <c r="V540">
        <v>4.99</v>
      </c>
      <c r="W540">
        <v>6.41</v>
      </c>
      <c r="X540">
        <v>4.0199999999999996</v>
      </c>
      <c r="Y540">
        <v>2.2799999999999998</v>
      </c>
      <c r="Z540">
        <v>0.28999999999999998</v>
      </c>
      <c r="AA540">
        <v>1.76</v>
      </c>
      <c r="AB540">
        <v>1.06</v>
      </c>
      <c r="AC540">
        <v>1.87</v>
      </c>
      <c r="AD540">
        <v>3.06</v>
      </c>
      <c r="AE540">
        <v>4.9400000000000004</v>
      </c>
      <c r="AF540">
        <v>2.163333333333334</v>
      </c>
      <c r="AG540" t="str">
        <f>HYPERLINK("https://finance.naver.com/item/fchart.naver?code=006490", "인스코비 차트보기")</f>
        <v>인스코비 차트보기</v>
      </c>
    </row>
    <row r="541" spans="1:33" x14ac:dyDescent="0.3">
      <c r="A541" t="s">
        <v>2191</v>
      </c>
      <c r="B541" t="s">
        <v>55</v>
      </c>
      <c r="C541" t="s">
        <v>2192</v>
      </c>
      <c r="D541">
        <v>5889.14</v>
      </c>
      <c r="E541" t="s">
        <v>2193</v>
      </c>
      <c r="F541">
        <v>0</v>
      </c>
      <c r="G541">
        <v>0</v>
      </c>
      <c r="H541">
        <v>0</v>
      </c>
      <c r="I541">
        <v>0</v>
      </c>
      <c r="J541" t="s">
        <v>2194</v>
      </c>
      <c r="K541">
        <v>2275</v>
      </c>
      <c r="L541">
        <v>2125</v>
      </c>
      <c r="M541">
        <v>-6.59</v>
      </c>
      <c r="N541">
        <v>-0.23</v>
      </c>
      <c r="O541">
        <v>1.19</v>
      </c>
      <c r="P541">
        <v>-2.3199999999999998</v>
      </c>
      <c r="Q541">
        <v>-2.2799999999999998</v>
      </c>
      <c r="R541">
        <v>0.68</v>
      </c>
      <c r="S541">
        <v>-0.23</v>
      </c>
      <c r="T541">
        <v>0.21</v>
      </c>
      <c r="U541">
        <v>0.43</v>
      </c>
      <c r="V541">
        <v>0.65</v>
      </c>
      <c r="W541">
        <v>0.61</v>
      </c>
      <c r="X541">
        <v>0.46</v>
      </c>
      <c r="Y541">
        <v>0.72</v>
      </c>
      <c r="Z541">
        <v>1.1000000000000001</v>
      </c>
      <c r="AA541">
        <v>2.77</v>
      </c>
      <c r="AB541">
        <v>3.57</v>
      </c>
      <c r="AC541">
        <v>3.74</v>
      </c>
      <c r="AD541">
        <v>1.48</v>
      </c>
      <c r="AE541">
        <v>0.32</v>
      </c>
      <c r="AF541">
        <v>2.163333333333334</v>
      </c>
      <c r="AG541" t="str">
        <f>HYPERLINK("https://finance.naver.com/item/fchart.naver?code=457940", "에스케이증권제10호스팩 차트보기")</f>
        <v>에스케이증권제10호스팩 차트보기</v>
      </c>
    </row>
    <row r="542" spans="1:33" x14ac:dyDescent="0.3">
      <c r="A542" t="s">
        <v>2195</v>
      </c>
      <c r="B542" t="s">
        <v>55</v>
      </c>
      <c r="C542" t="s">
        <v>2196</v>
      </c>
      <c r="D542">
        <v>3668.95</v>
      </c>
      <c r="E542" t="s">
        <v>2197</v>
      </c>
      <c r="F542">
        <v>0</v>
      </c>
      <c r="G542">
        <v>0</v>
      </c>
      <c r="H542">
        <v>0</v>
      </c>
      <c r="I542">
        <v>0</v>
      </c>
      <c r="J542" t="s">
        <v>2198</v>
      </c>
      <c r="K542">
        <v>2160</v>
      </c>
      <c r="L542">
        <v>2120</v>
      </c>
      <c r="M542">
        <v>-1.85</v>
      </c>
      <c r="N542">
        <v>-0.24</v>
      </c>
      <c r="O542">
        <v>0.47</v>
      </c>
      <c r="P542">
        <v>-1.63</v>
      </c>
      <c r="Q542">
        <v>-2.27</v>
      </c>
      <c r="R542">
        <v>0.92</v>
      </c>
      <c r="S542">
        <v>2.58</v>
      </c>
      <c r="T542">
        <v>0.54</v>
      </c>
      <c r="U542">
        <v>0.41</v>
      </c>
      <c r="V542">
        <v>0.44</v>
      </c>
      <c r="W542">
        <v>0.83</v>
      </c>
      <c r="X542">
        <v>0.6</v>
      </c>
      <c r="Y542">
        <v>0.75</v>
      </c>
      <c r="Z542">
        <v>0.44</v>
      </c>
      <c r="AA542">
        <v>1.1499999999999999</v>
      </c>
      <c r="AB542">
        <v>3.7</v>
      </c>
      <c r="AC542">
        <v>2.73</v>
      </c>
      <c r="AD542">
        <v>1.53</v>
      </c>
      <c r="AE542">
        <v>3.44</v>
      </c>
      <c r="AF542">
        <v>2.165</v>
      </c>
      <c r="AG542" t="str">
        <f>HYPERLINK("https://finance.naver.com/item/fchart.naver?code=448370", "하나27호스팩 차트보기")</f>
        <v>하나27호스팩 차트보기</v>
      </c>
    </row>
    <row r="543" spans="1:33" x14ac:dyDescent="0.3">
      <c r="A543" t="s">
        <v>2199</v>
      </c>
      <c r="B543" t="s">
        <v>55</v>
      </c>
      <c r="C543" t="s">
        <v>2200</v>
      </c>
      <c r="D543">
        <v>4110.1000000000004</v>
      </c>
      <c r="E543" t="s">
        <v>2201</v>
      </c>
      <c r="F543">
        <v>0</v>
      </c>
      <c r="G543">
        <v>0</v>
      </c>
      <c r="H543">
        <v>0</v>
      </c>
      <c r="I543">
        <v>0</v>
      </c>
      <c r="J543" t="s">
        <v>2202</v>
      </c>
      <c r="K543">
        <v>2240</v>
      </c>
      <c r="L543">
        <v>2105</v>
      </c>
      <c r="M543">
        <v>-6.03</v>
      </c>
      <c r="N543">
        <v>-0.47</v>
      </c>
      <c r="O543">
        <v>-0.24</v>
      </c>
      <c r="P543">
        <v>0</v>
      </c>
      <c r="Q543">
        <v>-1.85</v>
      </c>
      <c r="R543">
        <v>1.88</v>
      </c>
      <c r="S543">
        <v>0.47</v>
      </c>
      <c r="T543">
        <v>0.21</v>
      </c>
      <c r="U543">
        <v>0.33</v>
      </c>
      <c r="V543">
        <v>0.31</v>
      </c>
      <c r="W543">
        <v>0.46</v>
      </c>
      <c r="X543">
        <v>0.36</v>
      </c>
      <c r="Y543">
        <v>0.6</v>
      </c>
      <c r="Z543">
        <v>2.2400000000000002</v>
      </c>
      <c r="AA543">
        <v>0.73</v>
      </c>
      <c r="AB543">
        <v>0</v>
      </c>
      <c r="AC543">
        <v>4.0199999999999996</v>
      </c>
      <c r="AD543">
        <v>5.22</v>
      </c>
      <c r="AE543">
        <v>0.78</v>
      </c>
      <c r="AF543">
        <v>2.165</v>
      </c>
      <c r="AG543" t="str">
        <f>HYPERLINK("https://finance.naver.com/item/fchart.naver?code=435870", "에스케이증권제8호스팩 차트보기")</f>
        <v>에스케이증권제8호스팩 차트보기</v>
      </c>
    </row>
    <row r="544" spans="1:33" x14ac:dyDescent="0.3">
      <c r="A544" t="s">
        <v>2203</v>
      </c>
      <c r="B544" t="s">
        <v>55</v>
      </c>
      <c r="C544" t="s">
        <v>2204</v>
      </c>
      <c r="D544">
        <v>545283.1</v>
      </c>
      <c r="E544" t="s">
        <v>2205</v>
      </c>
      <c r="F544">
        <v>0</v>
      </c>
      <c r="G544">
        <v>1.8500000238418579</v>
      </c>
      <c r="H544">
        <v>0</v>
      </c>
      <c r="I544">
        <v>0.49000000953674322</v>
      </c>
      <c r="J544" t="s">
        <v>2206</v>
      </c>
      <c r="K544">
        <v>22739</v>
      </c>
      <c r="L544">
        <v>10200</v>
      </c>
      <c r="M544">
        <v>-55.14</v>
      </c>
      <c r="N544">
        <v>-7.69</v>
      </c>
      <c r="O544">
        <v>-1.98</v>
      </c>
      <c r="P544">
        <v>-4.01</v>
      </c>
      <c r="Q544">
        <v>-27.83</v>
      </c>
      <c r="R544">
        <v>-6.31</v>
      </c>
      <c r="S544">
        <v>-2.08</v>
      </c>
      <c r="T544">
        <v>2.96</v>
      </c>
      <c r="U544">
        <v>3.79</v>
      </c>
      <c r="V544">
        <v>3.59</v>
      </c>
      <c r="W544">
        <v>5.19</v>
      </c>
      <c r="X544">
        <v>2.52</v>
      </c>
      <c r="Y544">
        <v>2.34</v>
      </c>
      <c r="Z544">
        <v>2.6</v>
      </c>
      <c r="AA544">
        <v>0.52</v>
      </c>
      <c r="AB544">
        <v>1.1200000000000001</v>
      </c>
      <c r="AC544">
        <v>5.36</v>
      </c>
      <c r="AD544">
        <v>2.5</v>
      </c>
      <c r="AE544">
        <v>0.89</v>
      </c>
      <c r="AF544">
        <v>2.165</v>
      </c>
      <c r="AG544" t="str">
        <f>HYPERLINK("https://finance.naver.com/item/fchart.naver?code=067310", "하나마이크론 차트보기")</f>
        <v>하나마이크론 차트보기</v>
      </c>
    </row>
    <row r="545" spans="1:33" x14ac:dyDescent="0.3">
      <c r="A545" t="s">
        <v>2207</v>
      </c>
      <c r="B545" t="s">
        <v>34</v>
      </c>
      <c r="C545" t="s">
        <v>2208</v>
      </c>
      <c r="D545">
        <v>856386.05</v>
      </c>
      <c r="E545" t="s">
        <v>2209</v>
      </c>
      <c r="F545">
        <v>6.98</v>
      </c>
      <c r="G545">
        <v>0.50999999046325684</v>
      </c>
      <c r="H545">
        <v>1449</v>
      </c>
      <c r="I545">
        <v>6.429999828338623</v>
      </c>
      <c r="J545" t="s">
        <v>2210</v>
      </c>
      <c r="K545">
        <v>9930</v>
      </c>
      <c r="L545">
        <v>10110</v>
      </c>
      <c r="M545">
        <v>1.81</v>
      </c>
      <c r="N545">
        <v>0.7</v>
      </c>
      <c r="O545">
        <v>3.2</v>
      </c>
      <c r="P545">
        <v>-0.3</v>
      </c>
      <c r="Q545">
        <v>-2.79</v>
      </c>
      <c r="R545">
        <v>2.56</v>
      </c>
      <c r="S545">
        <v>0.72</v>
      </c>
      <c r="T545">
        <v>1.1599999999999999</v>
      </c>
      <c r="U545">
        <v>0.75</v>
      </c>
      <c r="V545">
        <v>0.9</v>
      </c>
      <c r="W545">
        <v>1.1399999999999999</v>
      </c>
      <c r="X545">
        <v>0.56999999999999995</v>
      </c>
      <c r="Y545">
        <v>0.84</v>
      </c>
      <c r="Z545">
        <v>0.6</v>
      </c>
      <c r="AA545">
        <v>4.2699999999999996</v>
      </c>
      <c r="AB545">
        <v>0.33</v>
      </c>
      <c r="AC545">
        <v>2.4500000000000002</v>
      </c>
      <c r="AD545">
        <v>4.49</v>
      </c>
      <c r="AE545">
        <v>0.86</v>
      </c>
      <c r="AF545">
        <v>2.166666666666667</v>
      </c>
      <c r="AG545" t="str">
        <f>HYPERLINK("https://finance.naver.com/item/fchart.naver?code=032640", "LG유플러스 차트보기")</f>
        <v>LG유플러스 차트보기</v>
      </c>
    </row>
    <row r="546" spans="1:33" x14ac:dyDescent="0.3">
      <c r="A546" t="s">
        <v>2211</v>
      </c>
      <c r="B546" t="s">
        <v>34</v>
      </c>
      <c r="C546" t="s">
        <v>2212</v>
      </c>
      <c r="D546">
        <v>8177.05</v>
      </c>
      <c r="E546" t="s">
        <v>2213</v>
      </c>
      <c r="F546">
        <v>0</v>
      </c>
      <c r="G546">
        <v>0</v>
      </c>
      <c r="H546">
        <v>0</v>
      </c>
      <c r="I546">
        <v>0.87000000476837158</v>
      </c>
      <c r="J546" t="s">
        <v>2214</v>
      </c>
      <c r="K546">
        <v>4350</v>
      </c>
      <c r="L546">
        <v>3455</v>
      </c>
      <c r="M546">
        <v>-20.57</v>
      </c>
      <c r="N546">
        <v>-6.5</v>
      </c>
      <c r="O546">
        <v>-5.65</v>
      </c>
      <c r="P546">
        <v>0.38</v>
      </c>
      <c r="Q546">
        <v>-2.46</v>
      </c>
      <c r="R546">
        <v>-1.33</v>
      </c>
      <c r="S546">
        <v>-0.96</v>
      </c>
      <c r="T546">
        <v>0.96</v>
      </c>
      <c r="U546">
        <v>1.99</v>
      </c>
      <c r="V546">
        <v>1.44</v>
      </c>
      <c r="W546">
        <v>1.49</v>
      </c>
      <c r="X546">
        <v>1.72</v>
      </c>
      <c r="Y546">
        <v>1.34</v>
      </c>
      <c r="Z546">
        <v>6.77</v>
      </c>
      <c r="AA546">
        <v>2.84</v>
      </c>
      <c r="AB546">
        <v>0.26</v>
      </c>
      <c r="AC546">
        <v>1.65</v>
      </c>
      <c r="AD546">
        <v>0.77</v>
      </c>
      <c r="AE546">
        <v>0.72</v>
      </c>
      <c r="AF546">
        <v>2.168333333333333</v>
      </c>
      <c r="AG546" t="str">
        <f>HYPERLINK("https://finance.naver.com/item/fchart.naver?code=012205", "계양전기우 차트보기")</f>
        <v>계양전기우 차트보기</v>
      </c>
    </row>
    <row r="547" spans="1:33" x14ac:dyDescent="0.3">
      <c r="A547" t="s">
        <v>2215</v>
      </c>
      <c r="B547" t="s">
        <v>55</v>
      </c>
      <c r="C547" t="s">
        <v>2216</v>
      </c>
      <c r="D547">
        <v>13217.62</v>
      </c>
      <c r="E547" t="s">
        <v>2217</v>
      </c>
      <c r="F547">
        <v>2.5499999999999998</v>
      </c>
      <c r="G547">
        <v>0.54000002145767212</v>
      </c>
      <c r="H547">
        <v>406</v>
      </c>
      <c r="I547">
        <v>0</v>
      </c>
      <c r="J547" t="s">
        <v>2218</v>
      </c>
      <c r="K547">
        <v>1256</v>
      </c>
      <c r="L547">
        <v>1034</v>
      </c>
      <c r="M547">
        <v>-17.68</v>
      </c>
      <c r="N547">
        <v>0.1</v>
      </c>
      <c r="O547">
        <v>-2.46</v>
      </c>
      <c r="P547">
        <v>-5.59</v>
      </c>
      <c r="Q547">
        <v>-0.45</v>
      </c>
      <c r="R547">
        <v>-1.68</v>
      </c>
      <c r="S547">
        <v>-3.46</v>
      </c>
      <c r="T547">
        <v>0.47</v>
      </c>
      <c r="U547">
        <v>0.89</v>
      </c>
      <c r="V547">
        <v>1.25</v>
      </c>
      <c r="W547">
        <v>2.31</v>
      </c>
      <c r="X547">
        <v>0.86</v>
      </c>
      <c r="Y547">
        <v>1.01</v>
      </c>
      <c r="Z547">
        <v>0.21</v>
      </c>
      <c r="AA547">
        <v>2.76</v>
      </c>
      <c r="AB547">
        <v>4.47</v>
      </c>
      <c r="AC547">
        <v>0.19</v>
      </c>
      <c r="AD547">
        <v>1.95</v>
      </c>
      <c r="AE547">
        <v>3.43</v>
      </c>
      <c r="AF547">
        <v>2.168333333333333</v>
      </c>
      <c r="AG547" t="str">
        <f>HYPERLINK("https://finance.naver.com/item/fchart.naver?code=017250", "인터엠 차트보기")</f>
        <v>인터엠 차트보기</v>
      </c>
    </row>
    <row r="548" spans="1:33" x14ac:dyDescent="0.3">
      <c r="A548" t="s">
        <v>2219</v>
      </c>
      <c r="B548" t="s">
        <v>34</v>
      </c>
      <c r="C548" t="s">
        <v>2220</v>
      </c>
      <c r="D548">
        <v>106662.19</v>
      </c>
      <c r="E548" t="s">
        <v>2221</v>
      </c>
      <c r="F548">
        <v>10.68</v>
      </c>
      <c r="G548">
        <v>0.31999999284744263</v>
      </c>
      <c r="H548">
        <v>130</v>
      </c>
      <c r="I548">
        <v>2.5199999809265141</v>
      </c>
      <c r="J548" t="s">
        <v>2222</v>
      </c>
      <c r="K548">
        <v>1773</v>
      </c>
      <c r="L548">
        <v>1388</v>
      </c>
      <c r="M548">
        <v>-21.71</v>
      </c>
      <c r="N548">
        <v>0.8</v>
      </c>
      <c r="O548">
        <v>0.72</v>
      </c>
      <c r="P548">
        <v>0.44</v>
      </c>
      <c r="Q548">
        <v>-13.24</v>
      </c>
      <c r="R548">
        <v>-5.47</v>
      </c>
      <c r="S548">
        <v>-7.24</v>
      </c>
      <c r="T548">
        <v>0.74</v>
      </c>
      <c r="U548">
        <v>1.26</v>
      </c>
      <c r="V548">
        <v>1.56</v>
      </c>
      <c r="W548">
        <v>3.06</v>
      </c>
      <c r="X548">
        <v>2.11</v>
      </c>
      <c r="Y548">
        <v>1.73</v>
      </c>
      <c r="Z548">
        <v>1.08</v>
      </c>
      <c r="AA548">
        <v>0.56999999999999995</v>
      </c>
      <c r="AB548">
        <v>0.28000000000000003</v>
      </c>
      <c r="AC548">
        <v>4.33</v>
      </c>
      <c r="AD548">
        <v>2.59</v>
      </c>
      <c r="AE548">
        <v>4.18</v>
      </c>
      <c r="AF548">
        <v>2.171666666666666</v>
      </c>
      <c r="AG548" t="str">
        <f>HYPERLINK("https://finance.naver.com/item/fchart.naver?code=007980", "TP 차트보기")</f>
        <v>TP 차트보기</v>
      </c>
    </row>
    <row r="549" spans="1:33" x14ac:dyDescent="0.3">
      <c r="A549" t="s">
        <v>2223</v>
      </c>
      <c r="B549" t="s">
        <v>55</v>
      </c>
      <c r="C549" t="s">
        <v>2224</v>
      </c>
      <c r="D549">
        <v>2508078.14</v>
      </c>
      <c r="E549" t="s">
        <v>2225</v>
      </c>
      <c r="F549">
        <v>120.25</v>
      </c>
      <c r="G549">
        <v>1.5900000333786011</v>
      </c>
      <c r="H549">
        <v>20</v>
      </c>
      <c r="I549">
        <v>0</v>
      </c>
      <c r="J549" t="s">
        <v>2226</v>
      </c>
      <c r="K549">
        <v>3515</v>
      </c>
      <c r="L549">
        <v>2405</v>
      </c>
      <c r="M549">
        <v>-31.58</v>
      </c>
      <c r="N549">
        <v>4.79</v>
      </c>
      <c r="O549">
        <v>-6.47</v>
      </c>
      <c r="P549">
        <v>-11.13</v>
      </c>
      <c r="Q549">
        <v>11.76</v>
      </c>
      <c r="R549">
        <v>-20.66</v>
      </c>
      <c r="S549">
        <v>-7.75</v>
      </c>
      <c r="T549">
        <v>5.25</v>
      </c>
      <c r="U549">
        <v>2.8</v>
      </c>
      <c r="V549">
        <v>4.95</v>
      </c>
      <c r="W549">
        <v>9.11</v>
      </c>
      <c r="X549">
        <v>5</v>
      </c>
      <c r="Y549">
        <v>3.6</v>
      </c>
      <c r="Z549">
        <v>0.91</v>
      </c>
      <c r="AA549">
        <v>2.31</v>
      </c>
      <c r="AB549">
        <v>2.25</v>
      </c>
      <c r="AC549">
        <v>1.29</v>
      </c>
      <c r="AD549">
        <v>4.13</v>
      </c>
      <c r="AE549">
        <v>2.15</v>
      </c>
      <c r="AF549">
        <v>2.1733333333333329</v>
      </c>
      <c r="AG549" t="str">
        <f>HYPERLINK("https://finance.naver.com/item/fchart.naver?code=039980", "폴라리스AI 차트보기")</f>
        <v>폴라리스AI 차트보기</v>
      </c>
    </row>
    <row r="550" spans="1:33" x14ac:dyDescent="0.3">
      <c r="A550" t="s">
        <v>2227</v>
      </c>
      <c r="B550" t="s">
        <v>55</v>
      </c>
      <c r="C550" t="s">
        <v>2228</v>
      </c>
      <c r="D550">
        <v>3317.24</v>
      </c>
      <c r="E550" t="s">
        <v>2229</v>
      </c>
      <c r="F550">
        <v>0</v>
      </c>
      <c r="G550">
        <v>0</v>
      </c>
      <c r="H550">
        <v>0</v>
      </c>
      <c r="I550">
        <v>0</v>
      </c>
      <c r="J550" t="s">
        <v>2230</v>
      </c>
      <c r="K550">
        <v>2315</v>
      </c>
      <c r="L550">
        <v>2190</v>
      </c>
      <c r="M550">
        <v>-5.4</v>
      </c>
      <c r="N550">
        <v>-0.23</v>
      </c>
      <c r="O550">
        <v>-0.45</v>
      </c>
      <c r="P550">
        <v>-1.56</v>
      </c>
      <c r="Q550">
        <v>-4.0999999999999996</v>
      </c>
      <c r="R550">
        <v>1.96</v>
      </c>
      <c r="S550">
        <v>-0.65</v>
      </c>
      <c r="T550">
        <v>0.32</v>
      </c>
      <c r="U550">
        <v>0.8</v>
      </c>
      <c r="V550">
        <v>1.1599999999999999</v>
      </c>
      <c r="W550">
        <v>0.73</v>
      </c>
      <c r="X550">
        <v>0.48</v>
      </c>
      <c r="Y550">
        <v>0.9</v>
      </c>
      <c r="Z550">
        <v>0.72</v>
      </c>
      <c r="AA550">
        <v>0.56000000000000005</v>
      </c>
      <c r="AB550">
        <v>1.34</v>
      </c>
      <c r="AC550">
        <v>5.62</v>
      </c>
      <c r="AD550">
        <v>4.08</v>
      </c>
      <c r="AE550">
        <v>0.72</v>
      </c>
      <c r="AF550">
        <v>2.1733333333333329</v>
      </c>
      <c r="AG550" t="str">
        <f>HYPERLINK("https://finance.naver.com/item/fchart.naver?code=438580", "엔에이치스팩25호 차트보기")</f>
        <v>엔에이치스팩25호 차트보기</v>
      </c>
    </row>
    <row r="551" spans="1:33" x14ac:dyDescent="0.3">
      <c r="A551" t="s">
        <v>2231</v>
      </c>
      <c r="B551" t="s">
        <v>55</v>
      </c>
      <c r="C551" t="s">
        <v>2232</v>
      </c>
      <c r="D551">
        <v>18341.099999999999</v>
      </c>
      <c r="E551" t="s">
        <v>2233</v>
      </c>
      <c r="F551">
        <v>9.57</v>
      </c>
      <c r="G551">
        <v>0.68999999761581421</v>
      </c>
      <c r="H551">
        <v>267</v>
      </c>
      <c r="I551">
        <v>0</v>
      </c>
      <c r="J551" t="s">
        <v>2234</v>
      </c>
      <c r="K551">
        <v>3515</v>
      </c>
      <c r="L551">
        <v>2555</v>
      </c>
      <c r="M551">
        <v>-27.31</v>
      </c>
      <c r="N551">
        <v>-3.4</v>
      </c>
      <c r="O551">
        <v>-1.84</v>
      </c>
      <c r="P551">
        <v>-3.33</v>
      </c>
      <c r="Q551">
        <v>-7.62</v>
      </c>
      <c r="R551">
        <v>-0.78</v>
      </c>
      <c r="S551">
        <v>-5.81</v>
      </c>
      <c r="T551">
        <v>1.66</v>
      </c>
      <c r="U551">
        <v>1.39</v>
      </c>
      <c r="V551">
        <v>1.78</v>
      </c>
      <c r="W551">
        <v>2.58</v>
      </c>
      <c r="X551">
        <v>1.17</v>
      </c>
      <c r="Y551">
        <v>1.39</v>
      </c>
      <c r="Z551">
        <v>2.0499999999999998</v>
      </c>
      <c r="AA551">
        <v>1.32</v>
      </c>
      <c r="AB551">
        <v>1.87</v>
      </c>
      <c r="AC551">
        <v>2.95</v>
      </c>
      <c r="AD551">
        <v>0.67</v>
      </c>
      <c r="AE551">
        <v>4.18</v>
      </c>
      <c r="AF551">
        <v>2.1733333333333329</v>
      </c>
      <c r="AG551" t="str">
        <f>HYPERLINK("https://finance.naver.com/item/fchart.naver?code=215480", "토박스코리아 차트보기")</f>
        <v>토박스코리아 차트보기</v>
      </c>
    </row>
    <row r="552" spans="1:33" x14ac:dyDescent="0.3">
      <c r="A552" t="s">
        <v>2235</v>
      </c>
      <c r="B552" t="s">
        <v>55</v>
      </c>
      <c r="C552" t="s">
        <v>2236</v>
      </c>
      <c r="D552">
        <v>53773.05</v>
      </c>
      <c r="E552" t="s">
        <v>2237</v>
      </c>
      <c r="F552">
        <v>0</v>
      </c>
      <c r="G552">
        <v>0.38999998569488531</v>
      </c>
      <c r="H552">
        <v>0</v>
      </c>
      <c r="I552">
        <v>0</v>
      </c>
      <c r="J552" t="s">
        <v>2238</v>
      </c>
      <c r="K552">
        <v>529</v>
      </c>
      <c r="L552">
        <v>476</v>
      </c>
      <c r="M552">
        <v>-10.02</v>
      </c>
      <c r="N552">
        <v>1.28</v>
      </c>
      <c r="O552">
        <v>-3.9</v>
      </c>
      <c r="P552">
        <v>-0.43</v>
      </c>
      <c r="Q552">
        <v>-1.25</v>
      </c>
      <c r="R552">
        <v>-5.0999999999999996</v>
      </c>
      <c r="S552">
        <v>-6.96</v>
      </c>
      <c r="T552">
        <v>1.42</v>
      </c>
      <c r="U552">
        <v>1.85</v>
      </c>
      <c r="V552">
        <v>1.69</v>
      </c>
      <c r="W552">
        <v>2.5299999999999998</v>
      </c>
      <c r="X552">
        <v>1.1399999999999999</v>
      </c>
      <c r="Y552">
        <v>1.44</v>
      </c>
      <c r="Z552">
        <v>0.9</v>
      </c>
      <c r="AA552">
        <v>2.11</v>
      </c>
      <c r="AB552">
        <v>0.25</v>
      </c>
      <c r="AC552">
        <v>0.49</v>
      </c>
      <c r="AD552">
        <v>4.47</v>
      </c>
      <c r="AE552">
        <v>4.83</v>
      </c>
      <c r="AF552">
        <v>2.1749999999999998</v>
      </c>
      <c r="AG552" t="str">
        <f>HYPERLINK("https://finance.naver.com/item/fchart.naver?code=044180", "KD 차트보기")</f>
        <v>KD 차트보기</v>
      </c>
    </row>
    <row r="553" spans="1:33" x14ac:dyDescent="0.3">
      <c r="A553" t="s">
        <v>2239</v>
      </c>
      <c r="B553" t="s">
        <v>34</v>
      </c>
      <c r="C553" t="s">
        <v>2240</v>
      </c>
      <c r="D553">
        <v>35287.050000000003</v>
      </c>
      <c r="E553" t="s">
        <v>2241</v>
      </c>
      <c r="F553">
        <v>5.3</v>
      </c>
      <c r="G553">
        <v>0.41999998688697809</v>
      </c>
      <c r="H553">
        <v>1756</v>
      </c>
      <c r="I553">
        <v>4.3000001907348633</v>
      </c>
      <c r="J553" t="s">
        <v>2242</v>
      </c>
      <c r="K553">
        <v>11750</v>
      </c>
      <c r="L553">
        <v>9310</v>
      </c>
      <c r="M553">
        <v>-20.77</v>
      </c>
      <c r="N553">
        <v>0.98</v>
      </c>
      <c r="O553">
        <v>4.21</v>
      </c>
      <c r="P553">
        <v>-0.24</v>
      </c>
      <c r="Q553">
        <v>-0.82</v>
      </c>
      <c r="R553">
        <v>-9.2799999999999994</v>
      </c>
      <c r="S553">
        <v>-12.01</v>
      </c>
      <c r="T553">
        <v>1.41</v>
      </c>
      <c r="U553">
        <v>2.25</v>
      </c>
      <c r="V553">
        <v>2.19</v>
      </c>
      <c r="W553">
        <v>2.0099999999999998</v>
      </c>
      <c r="X553">
        <v>1.8</v>
      </c>
      <c r="Y553">
        <v>2.5</v>
      </c>
      <c r="Z553">
        <v>0.7</v>
      </c>
      <c r="AA553">
        <v>1.87</v>
      </c>
      <c r="AB553">
        <v>0.11</v>
      </c>
      <c r="AC553">
        <v>0.41</v>
      </c>
      <c r="AD553">
        <v>5.16</v>
      </c>
      <c r="AE553">
        <v>4.8</v>
      </c>
      <c r="AF553">
        <v>2.1749999999999998</v>
      </c>
      <c r="AG553" t="str">
        <f>HYPERLINK("https://finance.naver.com/item/fchart.naver?code=104700", "한국철강 차트보기")</f>
        <v>한국철강 차트보기</v>
      </c>
    </row>
    <row r="554" spans="1:33" x14ac:dyDescent="0.3">
      <c r="A554" t="s">
        <v>2243</v>
      </c>
      <c r="B554" t="s">
        <v>55</v>
      </c>
      <c r="C554" t="s">
        <v>2244</v>
      </c>
      <c r="D554">
        <v>388823.33</v>
      </c>
      <c r="E554" t="s">
        <v>2245</v>
      </c>
      <c r="F554">
        <v>0</v>
      </c>
      <c r="G554">
        <v>1.629999995231628</v>
      </c>
      <c r="H554">
        <v>0</v>
      </c>
      <c r="I554">
        <v>0</v>
      </c>
      <c r="J554" t="s">
        <v>2246</v>
      </c>
      <c r="K554">
        <v>2230</v>
      </c>
      <c r="L554">
        <v>1651</v>
      </c>
      <c r="M554">
        <v>-25.96</v>
      </c>
      <c r="N554">
        <v>-1.26</v>
      </c>
      <c r="O554">
        <v>-0.82</v>
      </c>
      <c r="P554">
        <v>-2.6</v>
      </c>
      <c r="Q554">
        <v>-3.94</v>
      </c>
      <c r="R554">
        <v>-2.59</v>
      </c>
      <c r="S554">
        <v>-9.51</v>
      </c>
      <c r="T554">
        <v>2.86</v>
      </c>
      <c r="U554">
        <v>0.85</v>
      </c>
      <c r="V554">
        <v>1.61</v>
      </c>
      <c r="W554">
        <v>4.1500000000000004</v>
      </c>
      <c r="X554">
        <v>3.45</v>
      </c>
      <c r="Y554">
        <v>1.1399999999999999</v>
      </c>
      <c r="Z554">
        <v>0.44</v>
      </c>
      <c r="AA554">
        <v>0.96</v>
      </c>
      <c r="AB554">
        <v>1.61</v>
      </c>
      <c r="AC554">
        <v>0.95</v>
      </c>
      <c r="AD554">
        <v>0.75</v>
      </c>
      <c r="AE554">
        <v>8.34</v>
      </c>
      <c r="AF554">
        <v>2.1749999999999998</v>
      </c>
      <c r="AG554" t="str">
        <f>HYPERLINK("https://finance.naver.com/item/fchart.naver?code=048550", "SM C&amp;C 차트보기")</f>
        <v>SM C&amp;C 차트보기</v>
      </c>
    </row>
    <row r="555" spans="1:33" x14ac:dyDescent="0.3">
      <c r="A555" t="s">
        <v>2247</v>
      </c>
      <c r="B555" t="s">
        <v>34</v>
      </c>
      <c r="C555" t="s">
        <v>2248</v>
      </c>
      <c r="D555">
        <v>52989.19</v>
      </c>
      <c r="E555" t="s">
        <v>2249</v>
      </c>
      <c r="F555">
        <v>20.52</v>
      </c>
      <c r="G555">
        <v>1.440000057220459</v>
      </c>
      <c r="H555">
        <v>1562</v>
      </c>
      <c r="I555">
        <v>0.56000000238418579</v>
      </c>
      <c r="J555" t="s">
        <v>2250</v>
      </c>
      <c r="K555">
        <v>33650</v>
      </c>
      <c r="L555">
        <v>32050</v>
      </c>
      <c r="M555">
        <v>-4.75</v>
      </c>
      <c r="N555">
        <v>-11.95</v>
      </c>
      <c r="O555">
        <v>4.17</v>
      </c>
      <c r="P555">
        <v>4.7</v>
      </c>
      <c r="Q555">
        <v>-13.96</v>
      </c>
      <c r="R555">
        <v>2.2400000000000002</v>
      </c>
      <c r="S555">
        <v>16.579999999999998</v>
      </c>
      <c r="T555">
        <v>3.58</v>
      </c>
      <c r="U555">
        <v>3.25</v>
      </c>
      <c r="V555">
        <v>3.56</v>
      </c>
      <c r="W555">
        <v>5.51</v>
      </c>
      <c r="X555">
        <v>5.16</v>
      </c>
      <c r="Y555">
        <v>3.96</v>
      </c>
      <c r="Z555">
        <v>3.34</v>
      </c>
      <c r="AA555">
        <v>1.28</v>
      </c>
      <c r="AB555">
        <v>1.32</v>
      </c>
      <c r="AC555">
        <v>2.5299999999999998</v>
      </c>
      <c r="AD555">
        <v>0.43</v>
      </c>
      <c r="AE555">
        <v>4.1900000000000004</v>
      </c>
      <c r="AF555">
        <v>2.1816666666666671</v>
      </c>
      <c r="AG555" t="str">
        <f>HYPERLINK("https://finance.naver.com/item/fchart.naver?code=281820", "케이씨텍 차트보기")</f>
        <v>케이씨텍 차트보기</v>
      </c>
    </row>
    <row r="556" spans="1:33" x14ac:dyDescent="0.3">
      <c r="A556" t="s">
        <v>2251</v>
      </c>
      <c r="B556" t="s">
        <v>55</v>
      </c>
      <c r="C556" t="s">
        <v>2252</v>
      </c>
      <c r="D556">
        <v>74540.86</v>
      </c>
      <c r="E556" t="s">
        <v>2253</v>
      </c>
      <c r="F556">
        <v>30.61</v>
      </c>
      <c r="G556">
        <v>1.2400000095367429</v>
      </c>
      <c r="H556">
        <v>155</v>
      </c>
      <c r="I556">
        <v>0</v>
      </c>
      <c r="J556" t="s">
        <v>2254</v>
      </c>
      <c r="K556">
        <v>6240</v>
      </c>
      <c r="L556">
        <v>4745</v>
      </c>
      <c r="M556">
        <v>-23.96</v>
      </c>
      <c r="N556">
        <v>-0.73</v>
      </c>
      <c r="O556">
        <v>6.84</v>
      </c>
      <c r="P556">
        <v>1.88</v>
      </c>
      <c r="Q556">
        <v>-15.87</v>
      </c>
      <c r="R556">
        <v>-18.11</v>
      </c>
      <c r="S556">
        <v>3.96</v>
      </c>
      <c r="T556">
        <v>2.29</v>
      </c>
      <c r="U556">
        <v>2.84</v>
      </c>
      <c r="V556">
        <v>2.41</v>
      </c>
      <c r="W556">
        <v>4.8600000000000003</v>
      </c>
      <c r="X556">
        <v>3.4</v>
      </c>
      <c r="Y556">
        <v>4.05</v>
      </c>
      <c r="Z556">
        <v>0.32</v>
      </c>
      <c r="AA556">
        <v>2.41</v>
      </c>
      <c r="AB556">
        <v>0.78</v>
      </c>
      <c r="AC556">
        <v>3.27</v>
      </c>
      <c r="AD556">
        <v>5.33</v>
      </c>
      <c r="AE556">
        <v>0.98</v>
      </c>
      <c r="AF556">
        <v>2.1816666666666671</v>
      </c>
      <c r="AG556" t="str">
        <f>HYPERLINK("https://finance.naver.com/item/fchart.naver?code=440320", "오픈놀 차트보기")</f>
        <v>오픈놀 차트보기</v>
      </c>
    </row>
    <row r="557" spans="1:33" x14ac:dyDescent="0.3">
      <c r="A557" t="s">
        <v>2255</v>
      </c>
      <c r="B557" t="s">
        <v>34</v>
      </c>
      <c r="C557" t="s">
        <v>2256</v>
      </c>
      <c r="D557">
        <v>479816.48</v>
      </c>
      <c r="E557" t="s">
        <v>2257</v>
      </c>
      <c r="F557">
        <v>0</v>
      </c>
      <c r="G557">
        <v>9.8500003814697266</v>
      </c>
      <c r="H557">
        <v>0</v>
      </c>
      <c r="I557">
        <v>0</v>
      </c>
      <c r="J557" t="s">
        <v>2258</v>
      </c>
      <c r="K557">
        <v>73200</v>
      </c>
      <c r="L557">
        <v>66700</v>
      </c>
      <c r="M557">
        <v>-8.8800000000000008</v>
      </c>
      <c r="N557">
        <v>-2.91</v>
      </c>
      <c r="O557">
        <v>13.23</v>
      </c>
      <c r="P557">
        <v>-6.87</v>
      </c>
      <c r="Q557">
        <v>-3.43</v>
      </c>
      <c r="R557">
        <v>-8.3699999999999992</v>
      </c>
      <c r="S557">
        <v>7.83</v>
      </c>
      <c r="T557">
        <v>1.92</v>
      </c>
      <c r="U557">
        <v>3.19</v>
      </c>
      <c r="V557">
        <v>2.19</v>
      </c>
      <c r="W557">
        <v>4.3600000000000003</v>
      </c>
      <c r="X557">
        <v>6.7</v>
      </c>
      <c r="Y557">
        <v>3.49</v>
      </c>
      <c r="Z557">
        <v>1.52</v>
      </c>
      <c r="AA557">
        <v>4.1500000000000004</v>
      </c>
      <c r="AB557">
        <v>3.14</v>
      </c>
      <c r="AC557">
        <v>0.79</v>
      </c>
      <c r="AD557">
        <v>1.25</v>
      </c>
      <c r="AE557">
        <v>2.2400000000000002</v>
      </c>
      <c r="AF557">
        <v>2.1816666666666671</v>
      </c>
      <c r="AG557" t="str">
        <f>HYPERLINK("https://finance.naver.com/item/fchart.naver?code=454910", "두산로보틱스 차트보기")</f>
        <v>두산로보틱스 차트보기</v>
      </c>
    </row>
    <row r="558" spans="1:33" x14ac:dyDescent="0.3">
      <c r="A558" t="s">
        <v>2259</v>
      </c>
      <c r="B558" t="s">
        <v>55</v>
      </c>
      <c r="C558" t="s">
        <v>2260</v>
      </c>
      <c r="D558">
        <v>88131.9</v>
      </c>
      <c r="E558" t="s">
        <v>2261</v>
      </c>
      <c r="F558">
        <v>9.34</v>
      </c>
      <c r="G558">
        <v>2.7899999618530269</v>
      </c>
      <c r="H558">
        <v>575</v>
      </c>
      <c r="I558">
        <v>1.299999952316284</v>
      </c>
      <c r="J558" t="s">
        <v>2262</v>
      </c>
      <c r="K558">
        <v>6270</v>
      </c>
      <c r="L558">
        <v>5370</v>
      </c>
      <c r="M558">
        <v>-14.35</v>
      </c>
      <c r="N558">
        <v>0.37</v>
      </c>
      <c r="O558">
        <v>16.04</v>
      </c>
      <c r="P558">
        <v>0</v>
      </c>
      <c r="Q558">
        <v>-4.03</v>
      </c>
      <c r="R558">
        <v>-9.08</v>
      </c>
      <c r="S558">
        <v>-4.24</v>
      </c>
      <c r="T558">
        <v>1.75</v>
      </c>
      <c r="U558">
        <v>2.5</v>
      </c>
      <c r="V558">
        <v>2.39</v>
      </c>
      <c r="W558">
        <v>3.82</v>
      </c>
      <c r="X558">
        <v>2.39</v>
      </c>
      <c r="Y558">
        <v>2.61</v>
      </c>
      <c r="Z558">
        <v>0.21</v>
      </c>
      <c r="AA558">
        <v>6.42</v>
      </c>
      <c r="AB558">
        <v>0</v>
      </c>
      <c r="AC558">
        <v>1.05</v>
      </c>
      <c r="AD558">
        <v>3.8</v>
      </c>
      <c r="AE558">
        <v>1.62</v>
      </c>
      <c r="AF558">
        <v>2.183333333333334</v>
      </c>
      <c r="AG558" t="str">
        <f>HYPERLINK("https://finance.naver.com/item/fchart.naver?code=211050", "인카금융서비스 차트보기")</f>
        <v>인카금융서비스 차트보기</v>
      </c>
    </row>
    <row r="559" spans="1:33" x14ac:dyDescent="0.3">
      <c r="A559" t="s">
        <v>2263</v>
      </c>
      <c r="B559" t="s">
        <v>34</v>
      </c>
      <c r="C559" t="s">
        <v>2264</v>
      </c>
      <c r="D559">
        <v>16033.81</v>
      </c>
      <c r="E559" t="s">
        <v>2265</v>
      </c>
      <c r="F559">
        <v>40.229999999999997</v>
      </c>
      <c r="G559">
        <v>0.38999998569488531</v>
      </c>
      <c r="H559">
        <v>65</v>
      </c>
      <c r="I559">
        <v>5.1599998474121094</v>
      </c>
      <c r="J559" t="s">
        <v>2266</v>
      </c>
      <c r="K559">
        <v>3015</v>
      </c>
      <c r="L559">
        <v>2615</v>
      </c>
      <c r="M559">
        <v>-13.27</v>
      </c>
      <c r="N559">
        <v>0.38</v>
      </c>
      <c r="O559">
        <v>-0.19</v>
      </c>
      <c r="P559">
        <v>-1.1299999999999999</v>
      </c>
      <c r="Q559">
        <v>-6.38</v>
      </c>
      <c r="R559">
        <v>-4.74</v>
      </c>
      <c r="S559">
        <v>-1.66</v>
      </c>
      <c r="T559">
        <v>0.53</v>
      </c>
      <c r="U559">
        <v>0.45</v>
      </c>
      <c r="V559">
        <v>1.2</v>
      </c>
      <c r="W559">
        <v>2.37</v>
      </c>
      <c r="X559">
        <v>0.9</v>
      </c>
      <c r="Y559">
        <v>0.54</v>
      </c>
      <c r="Z559">
        <v>0.72</v>
      </c>
      <c r="AA559">
        <v>0.42</v>
      </c>
      <c r="AB559">
        <v>0.94</v>
      </c>
      <c r="AC559">
        <v>2.69</v>
      </c>
      <c r="AD559">
        <v>5.27</v>
      </c>
      <c r="AE559">
        <v>3.07</v>
      </c>
      <c r="AF559">
        <v>2.1850000000000001</v>
      </c>
      <c r="AG559" t="str">
        <f>HYPERLINK("https://finance.naver.com/item/fchart.naver?code=003080", "성보화학 차트보기")</f>
        <v>성보화학 차트보기</v>
      </c>
    </row>
    <row r="560" spans="1:33" x14ac:dyDescent="0.3">
      <c r="A560" t="s">
        <v>2267</v>
      </c>
      <c r="B560" t="s">
        <v>55</v>
      </c>
      <c r="C560" t="s">
        <v>2268</v>
      </c>
      <c r="D560">
        <v>70957.52</v>
      </c>
      <c r="E560" t="s">
        <v>2269</v>
      </c>
      <c r="F560">
        <v>0</v>
      </c>
      <c r="G560">
        <v>0.74000000953674316</v>
      </c>
      <c r="H560">
        <v>0</v>
      </c>
      <c r="I560">
        <v>6.4000000953674316</v>
      </c>
      <c r="J560" t="s">
        <v>2270</v>
      </c>
      <c r="K560">
        <v>6490</v>
      </c>
      <c r="L560">
        <v>6250</v>
      </c>
      <c r="M560">
        <v>-3.7</v>
      </c>
      <c r="N560">
        <v>0.16</v>
      </c>
      <c r="O560">
        <v>2.27</v>
      </c>
      <c r="P560">
        <v>-2.5</v>
      </c>
      <c r="Q560">
        <v>-7.05</v>
      </c>
      <c r="R560">
        <v>4.1900000000000004</v>
      </c>
      <c r="S560">
        <v>3.4</v>
      </c>
      <c r="T560">
        <v>1.06</v>
      </c>
      <c r="U560">
        <v>0.85</v>
      </c>
      <c r="V560">
        <v>0.81</v>
      </c>
      <c r="W560">
        <v>2.64</v>
      </c>
      <c r="X560">
        <v>1.28</v>
      </c>
      <c r="Y560">
        <v>2.63</v>
      </c>
      <c r="Z560">
        <v>0.15</v>
      </c>
      <c r="AA560">
        <v>2.67</v>
      </c>
      <c r="AB560">
        <v>3.09</v>
      </c>
      <c r="AC560">
        <v>2.67</v>
      </c>
      <c r="AD560">
        <v>3.27</v>
      </c>
      <c r="AE560">
        <v>1.29</v>
      </c>
      <c r="AF560">
        <v>2.19</v>
      </c>
      <c r="AG560" t="str">
        <f>HYPERLINK("https://finance.naver.com/item/fchart.naver?code=011040", "경동제약 차트보기")</f>
        <v>경동제약 차트보기</v>
      </c>
    </row>
    <row r="561" spans="1:33" x14ac:dyDescent="0.3">
      <c r="A561" t="s">
        <v>2271</v>
      </c>
      <c r="B561" t="s">
        <v>55</v>
      </c>
      <c r="C561" t="s">
        <v>2272</v>
      </c>
      <c r="D561">
        <v>172696.38</v>
      </c>
      <c r="E561" t="s">
        <v>2273</v>
      </c>
      <c r="F561">
        <v>17.600000000000001</v>
      </c>
      <c r="G561">
        <v>1.320000052452087</v>
      </c>
      <c r="H561">
        <v>308</v>
      </c>
      <c r="I561">
        <v>1.110000014305115</v>
      </c>
      <c r="J561" t="s">
        <v>2274</v>
      </c>
      <c r="K561">
        <v>5660</v>
      </c>
      <c r="L561">
        <v>5420</v>
      </c>
      <c r="M561">
        <v>-4.24</v>
      </c>
      <c r="N561">
        <v>-3.04</v>
      </c>
      <c r="O561">
        <v>-9.0500000000000007</v>
      </c>
      <c r="P561">
        <v>0.15</v>
      </c>
      <c r="Q561">
        <v>-10</v>
      </c>
      <c r="R561">
        <v>31.28</v>
      </c>
      <c r="S561">
        <v>-0.93</v>
      </c>
      <c r="T561">
        <v>1.97</v>
      </c>
      <c r="U561">
        <v>1.92</v>
      </c>
      <c r="V561">
        <v>3.29</v>
      </c>
      <c r="W561">
        <v>4.42</v>
      </c>
      <c r="X561">
        <v>7.95</v>
      </c>
      <c r="Y561">
        <v>1.4</v>
      </c>
      <c r="Z561">
        <v>1.54</v>
      </c>
      <c r="AA561">
        <v>4.71</v>
      </c>
      <c r="AB561">
        <v>0.05</v>
      </c>
      <c r="AC561">
        <v>2.2599999999999998</v>
      </c>
      <c r="AD561">
        <v>3.93</v>
      </c>
      <c r="AE561">
        <v>0.66</v>
      </c>
      <c r="AF561">
        <v>2.191666666666666</v>
      </c>
      <c r="AG561" t="str">
        <f>HYPERLINK("https://finance.naver.com/item/fchart.naver?code=002800", "신신제약 차트보기")</f>
        <v>신신제약 차트보기</v>
      </c>
    </row>
    <row r="562" spans="1:33" x14ac:dyDescent="0.3">
      <c r="A562" t="s">
        <v>2275</v>
      </c>
      <c r="B562" t="s">
        <v>34</v>
      </c>
      <c r="C562" t="s">
        <v>2276</v>
      </c>
      <c r="D562">
        <v>287577.28999999998</v>
      </c>
      <c r="E562" t="s">
        <v>2277</v>
      </c>
      <c r="F562">
        <v>12.53</v>
      </c>
      <c r="G562">
        <v>1.0399999618530269</v>
      </c>
      <c r="H562">
        <v>1217</v>
      </c>
      <c r="I562">
        <v>0.79000002145767212</v>
      </c>
      <c r="J562" t="s">
        <v>2278</v>
      </c>
      <c r="K562">
        <v>15290</v>
      </c>
      <c r="L562">
        <v>15250</v>
      </c>
      <c r="M562">
        <v>-0.26</v>
      </c>
      <c r="N562">
        <v>-4.9800000000000004</v>
      </c>
      <c r="O562">
        <v>-17.309999999999999</v>
      </c>
      <c r="P562">
        <v>5.17</v>
      </c>
      <c r="Q562">
        <v>-10.89</v>
      </c>
      <c r="R562">
        <v>17.36</v>
      </c>
      <c r="S562">
        <v>0.28000000000000003</v>
      </c>
      <c r="T562">
        <v>2.93</v>
      </c>
      <c r="U562">
        <v>3.77</v>
      </c>
      <c r="V562">
        <v>2.76</v>
      </c>
      <c r="W562">
        <v>4.96</v>
      </c>
      <c r="X562">
        <v>6.29</v>
      </c>
      <c r="Y562">
        <v>11.12</v>
      </c>
      <c r="Z562">
        <v>1.7</v>
      </c>
      <c r="AA562">
        <v>4.59</v>
      </c>
      <c r="AB562">
        <v>1.87</v>
      </c>
      <c r="AC562">
        <v>2.2000000000000002</v>
      </c>
      <c r="AD562">
        <v>2.76</v>
      </c>
      <c r="AE562">
        <v>0.03</v>
      </c>
      <c r="AF562">
        <v>2.191666666666666</v>
      </c>
      <c r="AG562" t="str">
        <f>HYPERLINK("https://finance.naver.com/item/fchart.naver?code=004090", "한국석유 차트보기")</f>
        <v>한국석유 차트보기</v>
      </c>
    </row>
    <row r="563" spans="1:33" x14ac:dyDescent="0.3">
      <c r="A563" t="s">
        <v>2279</v>
      </c>
      <c r="B563" t="s">
        <v>55</v>
      </c>
      <c r="C563" t="s">
        <v>2280</v>
      </c>
      <c r="D563">
        <v>135255.51999999999</v>
      </c>
      <c r="E563" t="s">
        <v>2281</v>
      </c>
      <c r="F563">
        <v>11.13</v>
      </c>
      <c r="G563">
        <v>1.470000028610229</v>
      </c>
      <c r="H563">
        <v>2512</v>
      </c>
      <c r="I563">
        <v>1.879999995231628</v>
      </c>
      <c r="J563" t="s">
        <v>2282</v>
      </c>
      <c r="K563">
        <v>33050</v>
      </c>
      <c r="L563">
        <v>27950</v>
      </c>
      <c r="M563">
        <v>-15.43</v>
      </c>
      <c r="N563">
        <v>-7.91</v>
      </c>
      <c r="O563">
        <v>-4.97</v>
      </c>
      <c r="P563">
        <v>1.37</v>
      </c>
      <c r="Q563">
        <v>-3.76</v>
      </c>
      <c r="R563">
        <v>5.16</v>
      </c>
      <c r="S563">
        <v>-10.42</v>
      </c>
      <c r="T563">
        <v>3.14</v>
      </c>
      <c r="U563">
        <v>2.9</v>
      </c>
      <c r="V563">
        <v>2.96</v>
      </c>
      <c r="W563">
        <v>4.91</v>
      </c>
      <c r="X563">
        <v>2.08</v>
      </c>
      <c r="Y563">
        <v>2</v>
      </c>
      <c r="Z563">
        <v>2.52</v>
      </c>
      <c r="AA563">
        <v>1.71</v>
      </c>
      <c r="AB563">
        <v>0.46</v>
      </c>
      <c r="AC563">
        <v>0.77</v>
      </c>
      <c r="AD563">
        <v>2.48</v>
      </c>
      <c r="AE563">
        <v>5.21</v>
      </c>
      <c r="AF563">
        <v>2.1916666666666669</v>
      </c>
      <c r="AG563" t="str">
        <f>HYPERLINK("https://finance.naver.com/item/fchart.naver?code=200670", "휴메딕스 차트보기")</f>
        <v>휴메딕스 차트보기</v>
      </c>
    </row>
    <row r="564" spans="1:33" x14ac:dyDescent="0.3">
      <c r="A564" t="s">
        <v>2283</v>
      </c>
      <c r="B564" t="s">
        <v>55</v>
      </c>
      <c r="C564" t="s">
        <v>2284</v>
      </c>
      <c r="D564">
        <v>12673.71</v>
      </c>
      <c r="E564" t="s">
        <v>2285</v>
      </c>
      <c r="F564">
        <v>0</v>
      </c>
      <c r="G564">
        <v>1.129999995231628</v>
      </c>
      <c r="H564">
        <v>0</v>
      </c>
      <c r="I564">
        <v>0</v>
      </c>
      <c r="J564" t="s">
        <v>2286</v>
      </c>
      <c r="K564">
        <v>15780</v>
      </c>
      <c r="L564">
        <v>15080</v>
      </c>
      <c r="M564">
        <v>-4.4400000000000004</v>
      </c>
      <c r="N564">
        <v>0.73</v>
      </c>
      <c r="O564">
        <v>7.83</v>
      </c>
      <c r="P564">
        <v>-4.96</v>
      </c>
      <c r="Q564">
        <v>-1.88</v>
      </c>
      <c r="R564">
        <v>1.79</v>
      </c>
      <c r="S564">
        <v>-6.43</v>
      </c>
      <c r="T564">
        <v>2.15</v>
      </c>
      <c r="U564">
        <v>1.57</v>
      </c>
      <c r="V564">
        <v>2.46</v>
      </c>
      <c r="W564">
        <v>3.5</v>
      </c>
      <c r="X564">
        <v>1.9</v>
      </c>
      <c r="Y564">
        <v>1.49</v>
      </c>
      <c r="Z564">
        <v>0.34</v>
      </c>
      <c r="AA564">
        <v>4.99</v>
      </c>
      <c r="AB564">
        <v>2.02</v>
      </c>
      <c r="AC564">
        <v>0.54</v>
      </c>
      <c r="AD564">
        <v>0.94</v>
      </c>
      <c r="AE564">
        <v>4.32</v>
      </c>
      <c r="AF564">
        <v>2.1916666666666669</v>
      </c>
      <c r="AG564" t="str">
        <f>HYPERLINK("https://finance.naver.com/item/fchart.naver?code=065660", "안트로젠 차트보기")</f>
        <v>안트로젠 차트보기</v>
      </c>
    </row>
    <row r="565" spans="1:33" x14ac:dyDescent="0.3">
      <c r="A565" t="s">
        <v>2287</v>
      </c>
      <c r="B565" t="s">
        <v>34</v>
      </c>
      <c r="C565" t="s">
        <v>2288</v>
      </c>
      <c r="D565">
        <v>663.76</v>
      </c>
      <c r="E565" t="s">
        <v>2289</v>
      </c>
      <c r="F565">
        <v>0</v>
      </c>
      <c r="G565">
        <v>0.51999998092651367</v>
      </c>
      <c r="H565">
        <v>0</v>
      </c>
      <c r="I565">
        <v>3.9500000476837158</v>
      </c>
      <c r="J565" t="s">
        <v>2290</v>
      </c>
      <c r="K565">
        <v>33500</v>
      </c>
      <c r="L565">
        <v>30400</v>
      </c>
      <c r="M565">
        <v>-9.25</v>
      </c>
      <c r="N565">
        <v>-1.46</v>
      </c>
      <c r="O565">
        <v>-2.83</v>
      </c>
      <c r="P565">
        <v>-1.08</v>
      </c>
      <c r="Q565">
        <v>2.52</v>
      </c>
      <c r="R565">
        <v>0.48</v>
      </c>
      <c r="S565">
        <v>-6.92</v>
      </c>
      <c r="T565">
        <v>1.1100000000000001</v>
      </c>
      <c r="U565">
        <v>1.05</v>
      </c>
      <c r="V565">
        <v>1.25</v>
      </c>
      <c r="W565">
        <v>1.81</v>
      </c>
      <c r="X565">
        <v>0.88</v>
      </c>
      <c r="Y565">
        <v>1.0900000000000001</v>
      </c>
      <c r="Z565">
        <v>1.32</v>
      </c>
      <c r="AA565">
        <v>2.7</v>
      </c>
      <c r="AB565">
        <v>0.86</v>
      </c>
      <c r="AC565">
        <v>1.39</v>
      </c>
      <c r="AD565">
        <v>0.55000000000000004</v>
      </c>
      <c r="AE565">
        <v>6.35</v>
      </c>
      <c r="AF565">
        <v>2.1949999999999998</v>
      </c>
      <c r="AG565" t="str">
        <f>HYPERLINK("https://finance.naver.com/item/fchart.naver?code=004450", "삼화왕관 차트보기")</f>
        <v>삼화왕관 차트보기</v>
      </c>
    </row>
    <row r="566" spans="1:33" x14ac:dyDescent="0.3">
      <c r="A566" t="s">
        <v>2291</v>
      </c>
      <c r="B566" t="s">
        <v>34</v>
      </c>
      <c r="C566" t="s">
        <v>2292</v>
      </c>
      <c r="D566">
        <v>30716.240000000002</v>
      </c>
      <c r="E566" t="s">
        <v>2293</v>
      </c>
      <c r="F566">
        <v>6.02</v>
      </c>
      <c r="G566">
        <v>0.76999998092651367</v>
      </c>
      <c r="H566">
        <v>3298</v>
      </c>
      <c r="I566">
        <v>2.1099998950958252</v>
      </c>
      <c r="J566" t="s">
        <v>2294</v>
      </c>
      <c r="K566">
        <v>25000</v>
      </c>
      <c r="L566">
        <v>19860</v>
      </c>
      <c r="M566">
        <v>-20.56</v>
      </c>
      <c r="N566">
        <v>-3.59</v>
      </c>
      <c r="O566">
        <v>0.97</v>
      </c>
      <c r="P566">
        <v>-8.24</v>
      </c>
      <c r="Q566">
        <v>-3.83</v>
      </c>
      <c r="R566">
        <v>-1.91</v>
      </c>
      <c r="S566">
        <v>-2.9</v>
      </c>
      <c r="T566">
        <v>1.41</v>
      </c>
      <c r="U566">
        <v>1.45</v>
      </c>
      <c r="V566">
        <v>1.76</v>
      </c>
      <c r="W566">
        <v>2.5099999999999998</v>
      </c>
      <c r="X566">
        <v>1.23</v>
      </c>
      <c r="Y566">
        <v>1.32</v>
      </c>
      <c r="Z566">
        <v>2.5499999999999998</v>
      </c>
      <c r="AA566">
        <v>0.67</v>
      </c>
      <c r="AB566">
        <v>4.68</v>
      </c>
      <c r="AC566">
        <v>1.53</v>
      </c>
      <c r="AD566">
        <v>1.55</v>
      </c>
      <c r="AE566">
        <v>2.2000000000000002</v>
      </c>
      <c r="AF566">
        <v>2.1966666666666672</v>
      </c>
      <c r="AG566" t="str">
        <f>HYPERLINK("https://finance.naver.com/item/fchart.naver?code=033270", "유나이티드제약 차트보기")</f>
        <v>유나이티드제약 차트보기</v>
      </c>
    </row>
    <row r="567" spans="1:33" x14ac:dyDescent="0.3">
      <c r="A567" t="s">
        <v>2295</v>
      </c>
      <c r="B567" t="s">
        <v>55</v>
      </c>
      <c r="C567" t="s">
        <v>2296</v>
      </c>
      <c r="D567">
        <v>23417.71</v>
      </c>
      <c r="E567" t="s">
        <v>2297</v>
      </c>
      <c r="F567">
        <v>5.34</v>
      </c>
      <c r="G567">
        <v>0.54000002145767212</v>
      </c>
      <c r="H567">
        <v>727</v>
      </c>
      <c r="I567">
        <v>1.679999947547913</v>
      </c>
      <c r="J567" t="s">
        <v>2298</v>
      </c>
      <c r="K567">
        <v>3750</v>
      </c>
      <c r="L567">
        <v>3880</v>
      </c>
      <c r="M567">
        <v>3.47</v>
      </c>
      <c r="N567">
        <v>2.11</v>
      </c>
      <c r="O567">
        <v>3.8</v>
      </c>
      <c r="P567">
        <v>-8.8699999999999992</v>
      </c>
      <c r="Q567">
        <v>-1.33</v>
      </c>
      <c r="R567">
        <v>2.4900000000000002</v>
      </c>
      <c r="S567">
        <v>2.58</v>
      </c>
      <c r="T567">
        <v>1.02</v>
      </c>
      <c r="U567">
        <v>1.54</v>
      </c>
      <c r="V567">
        <v>1.6</v>
      </c>
      <c r="W567">
        <v>2.89</v>
      </c>
      <c r="X567">
        <v>2.0699999999999998</v>
      </c>
      <c r="Y567">
        <v>1.78</v>
      </c>
      <c r="Z567">
        <v>2.0699999999999998</v>
      </c>
      <c r="AA567">
        <v>2.4700000000000002</v>
      </c>
      <c r="AB567">
        <v>5.54</v>
      </c>
      <c r="AC567">
        <v>0.46</v>
      </c>
      <c r="AD567">
        <v>1.2</v>
      </c>
      <c r="AE567">
        <v>1.45</v>
      </c>
      <c r="AF567">
        <v>2.1983333333333328</v>
      </c>
      <c r="AG567" t="str">
        <f>HYPERLINK("https://finance.naver.com/item/fchart.naver?code=019770", "서연탑메탈 차트보기")</f>
        <v>서연탑메탈 차트보기</v>
      </c>
    </row>
    <row r="568" spans="1:33" x14ac:dyDescent="0.3">
      <c r="A568" t="s">
        <v>2299</v>
      </c>
      <c r="B568" t="s">
        <v>34</v>
      </c>
      <c r="C568" t="s">
        <v>2300</v>
      </c>
      <c r="D568">
        <v>63.29</v>
      </c>
      <c r="E568" t="s">
        <v>2301</v>
      </c>
      <c r="F568">
        <v>284.29000000000002</v>
      </c>
      <c r="G568">
        <v>0.67000001668930054</v>
      </c>
      <c r="H568">
        <v>592</v>
      </c>
      <c r="I568">
        <v>3.5699999332427979</v>
      </c>
      <c r="J568" t="s">
        <v>2302</v>
      </c>
      <c r="K568">
        <v>170900</v>
      </c>
      <c r="L568">
        <v>168300</v>
      </c>
      <c r="M568">
        <v>-1.52</v>
      </c>
      <c r="N568">
        <v>-2.72</v>
      </c>
      <c r="O568">
        <v>-3</v>
      </c>
      <c r="P568">
        <v>1.1399999999999999</v>
      </c>
      <c r="Q568">
        <v>3.02</v>
      </c>
      <c r="R568">
        <v>-3.66</v>
      </c>
      <c r="S568">
        <v>0.63</v>
      </c>
      <c r="T568">
        <v>0.92</v>
      </c>
      <c r="U568">
        <v>1.06</v>
      </c>
      <c r="V568">
        <v>0.73</v>
      </c>
      <c r="W568">
        <v>1.06</v>
      </c>
      <c r="X568">
        <v>1.38</v>
      </c>
      <c r="Y568">
        <v>1.86</v>
      </c>
      <c r="Z568">
        <v>2.96</v>
      </c>
      <c r="AA568">
        <v>2.83</v>
      </c>
      <c r="AB568">
        <v>1.56</v>
      </c>
      <c r="AC568">
        <v>2.85</v>
      </c>
      <c r="AD568">
        <v>2.65</v>
      </c>
      <c r="AE568">
        <v>0.34</v>
      </c>
      <c r="AF568">
        <v>2.1983333333333328</v>
      </c>
      <c r="AG568" t="str">
        <f>HYPERLINK("https://finance.naver.com/item/fchart.naver?code=002600", "조흥 차트보기")</f>
        <v>조흥 차트보기</v>
      </c>
    </row>
    <row r="569" spans="1:33" x14ac:dyDescent="0.3">
      <c r="A569" t="s">
        <v>2303</v>
      </c>
      <c r="B569" t="s">
        <v>55</v>
      </c>
      <c r="C569" t="s">
        <v>2304</v>
      </c>
      <c r="D569">
        <v>92209.52</v>
      </c>
      <c r="E569" t="s">
        <v>2305</v>
      </c>
      <c r="F569">
        <v>0</v>
      </c>
      <c r="G569">
        <v>1.440000057220459</v>
      </c>
      <c r="H569">
        <v>0</v>
      </c>
      <c r="I569">
        <v>0</v>
      </c>
      <c r="J569" t="s">
        <v>2306</v>
      </c>
      <c r="K569">
        <v>1907</v>
      </c>
      <c r="L569">
        <v>1495</v>
      </c>
      <c r="M569">
        <v>-21.6</v>
      </c>
      <c r="N569">
        <v>-0.2</v>
      </c>
      <c r="O569">
        <v>-1.43</v>
      </c>
      <c r="P569">
        <v>1.4</v>
      </c>
      <c r="Q569">
        <v>-3.27</v>
      </c>
      <c r="R569">
        <v>-9.08</v>
      </c>
      <c r="S569">
        <v>-9.0399999999999991</v>
      </c>
      <c r="T569">
        <v>0.65</v>
      </c>
      <c r="U569">
        <v>3.55</v>
      </c>
      <c r="V569">
        <v>2.46</v>
      </c>
      <c r="W569">
        <v>5.08</v>
      </c>
      <c r="X569">
        <v>1.69</v>
      </c>
      <c r="Y569">
        <v>1.53</v>
      </c>
      <c r="Z569">
        <v>0.31</v>
      </c>
      <c r="AA569">
        <v>0.4</v>
      </c>
      <c r="AB569">
        <v>0.56999999999999995</v>
      </c>
      <c r="AC569">
        <v>0.64</v>
      </c>
      <c r="AD569">
        <v>5.37</v>
      </c>
      <c r="AE569">
        <v>5.91</v>
      </c>
      <c r="AF569">
        <v>2.2000000000000002</v>
      </c>
      <c r="AG569" t="str">
        <f>HYPERLINK("https://finance.naver.com/item/fchart.naver?code=389030", "지니너스 차트보기")</f>
        <v>지니너스 차트보기</v>
      </c>
    </row>
    <row r="570" spans="1:33" x14ac:dyDescent="0.3">
      <c r="A570" t="s">
        <v>2307</v>
      </c>
      <c r="B570" t="s">
        <v>55</v>
      </c>
      <c r="C570" t="s">
        <v>2308</v>
      </c>
      <c r="D570">
        <v>26606.240000000002</v>
      </c>
      <c r="E570" t="s">
        <v>2309</v>
      </c>
      <c r="F570">
        <v>12.24</v>
      </c>
      <c r="G570">
        <v>1.559999942779541</v>
      </c>
      <c r="H570">
        <v>384</v>
      </c>
      <c r="I570">
        <v>2.130000114440918</v>
      </c>
      <c r="J570" t="s">
        <v>2310</v>
      </c>
      <c r="K570">
        <v>6470</v>
      </c>
      <c r="L570">
        <v>4700</v>
      </c>
      <c r="M570">
        <v>-27.36</v>
      </c>
      <c r="N570">
        <v>-1.88</v>
      </c>
      <c r="O570">
        <v>-4.3099999999999996</v>
      </c>
      <c r="P570">
        <v>-19.440000000000001</v>
      </c>
      <c r="Q570">
        <v>5.34</v>
      </c>
      <c r="R570">
        <v>-0.66</v>
      </c>
      <c r="S570">
        <v>-3.14</v>
      </c>
      <c r="T570">
        <v>1.47</v>
      </c>
      <c r="U570">
        <v>1.61</v>
      </c>
      <c r="V570">
        <v>3.49</v>
      </c>
      <c r="W570">
        <v>5.39</v>
      </c>
      <c r="X570">
        <v>1.75</v>
      </c>
      <c r="Y570">
        <v>1.36</v>
      </c>
      <c r="Z570">
        <v>1.28</v>
      </c>
      <c r="AA570">
        <v>2.68</v>
      </c>
      <c r="AB570">
        <v>5.57</v>
      </c>
      <c r="AC570">
        <v>0.99</v>
      </c>
      <c r="AD570">
        <v>0.38</v>
      </c>
      <c r="AE570">
        <v>2.31</v>
      </c>
      <c r="AF570">
        <v>2.2016666666666671</v>
      </c>
      <c r="AG570" t="str">
        <f>HYPERLINK("https://finance.naver.com/item/fchart.naver?code=150900", "파수 차트보기")</f>
        <v>파수 차트보기</v>
      </c>
    </row>
    <row r="571" spans="1:33" x14ac:dyDescent="0.3">
      <c r="A571" t="s">
        <v>2311</v>
      </c>
      <c r="B571" t="s">
        <v>55</v>
      </c>
      <c r="C571" t="s">
        <v>2312</v>
      </c>
      <c r="D571">
        <v>544271.43000000005</v>
      </c>
      <c r="E571" t="s">
        <v>2313</v>
      </c>
      <c r="F571">
        <v>0</v>
      </c>
      <c r="G571">
        <v>0.76999998092651367</v>
      </c>
      <c r="H571">
        <v>0</v>
      </c>
      <c r="I571">
        <v>0</v>
      </c>
      <c r="J571" t="s">
        <v>2314</v>
      </c>
      <c r="K571">
        <v>702</v>
      </c>
      <c r="L571">
        <v>516</v>
      </c>
      <c r="M571">
        <v>-26.5</v>
      </c>
      <c r="N571">
        <v>1.78</v>
      </c>
      <c r="O571">
        <v>-14.12</v>
      </c>
      <c r="P571">
        <v>1.34</v>
      </c>
      <c r="Q571">
        <v>-13.63</v>
      </c>
      <c r="R571">
        <v>0.79</v>
      </c>
      <c r="S571">
        <v>-6.44</v>
      </c>
      <c r="T571">
        <v>1.93</v>
      </c>
      <c r="U571">
        <v>2.19</v>
      </c>
      <c r="V571">
        <v>2.92</v>
      </c>
      <c r="W571">
        <v>8.93</v>
      </c>
      <c r="X571">
        <v>0.64</v>
      </c>
      <c r="Y571">
        <v>2.44</v>
      </c>
      <c r="Z571">
        <v>0.92</v>
      </c>
      <c r="AA571">
        <v>6.45</v>
      </c>
      <c r="AB571">
        <v>0.46</v>
      </c>
      <c r="AC571">
        <v>1.53</v>
      </c>
      <c r="AD571">
        <v>1.23</v>
      </c>
      <c r="AE571">
        <v>2.64</v>
      </c>
      <c r="AF571">
        <v>2.2050000000000001</v>
      </c>
      <c r="AG571" t="str">
        <f>HYPERLINK("https://finance.naver.com/item/fchart.naver?code=250930", "예선테크 차트보기")</f>
        <v>예선테크 차트보기</v>
      </c>
    </row>
    <row r="572" spans="1:33" x14ac:dyDescent="0.3">
      <c r="A572" t="s">
        <v>2315</v>
      </c>
      <c r="B572" t="s">
        <v>55</v>
      </c>
      <c r="C572" t="s">
        <v>2316</v>
      </c>
      <c r="D572">
        <v>20140.240000000002</v>
      </c>
      <c r="E572" t="s">
        <v>2317</v>
      </c>
      <c r="J572" t="s">
        <v>2318</v>
      </c>
      <c r="K572">
        <v>4850</v>
      </c>
      <c r="L572">
        <v>4285</v>
      </c>
      <c r="M572">
        <v>-11.65</v>
      </c>
      <c r="N572">
        <v>1.78</v>
      </c>
      <c r="O572">
        <v>-3.1</v>
      </c>
      <c r="P572">
        <v>1.25</v>
      </c>
      <c r="Q572">
        <v>-2.29</v>
      </c>
      <c r="R572">
        <v>15.86</v>
      </c>
      <c r="S572">
        <v>-17.95</v>
      </c>
      <c r="T572">
        <v>1.55</v>
      </c>
      <c r="U572">
        <v>2.04</v>
      </c>
      <c r="V572">
        <v>2.79</v>
      </c>
      <c r="W572">
        <v>7.35</v>
      </c>
      <c r="X572">
        <v>3.92</v>
      </c>
      <c r="Y572">
        <v>3.12</v>
      </c>
      <c r="Z572">
        <v>1.1499999999999999</v>
      </c>
      <c r="AA572">
        <v>1.52</v>
      </c>
      <c r="AB572">
        <v>0.45</v>
      </c>
      <c r="AC572">
        <v>0.31</v>
      </c>
      <c r="AD572">
        <v>4.05</v>
      </c>
      <c r="AE572">
        <v>5.75</v>
      </c>
      <c r="AF572">
        <v>2.2050000000000001</v>
      </c>
      <c r="AG572" t="str">
        <f>HYPERLINK("https://finance.naver.com/item/fchart.naver?code=950200", "소마젠 차트보기")</f>
        <v>소마젠 차트보기</v>
      </c>
    </row>
    <row r="573" spans="1:33" x14ac:dyDescent="0.3">
      <c r="A573" t="s">
        <v>2319</v>
      </c>
      <c r="B573" t="s">
        <v>34</v>
      </c>
      <c r="C573" t="s">
        <v>2320</v>
      </c>
      <c r="D573">
        <v>829713.48</v>
      </c>
      <c r="E573" t="s">
        <v>2321</v>
      </c>
      <c r="F573">
        <v>2.9</v>
      </c>
      <c r="G573">
        <v>0.37000000476837158</v>
      </c>
      <c r="H573">
        <v>1245</v>
      </c>
      <c r="I573">
        <v>0</v>
      </c>
      <c r="J573" t="s">
        <v>2322</v>
      </c>
      <c r="K573">
        <v>3760</v>
      </c>
      <c r="L573">
        <v>3610</v>
      </c>
      <c r="M573">
        <v>-3.99</v>
      </c>
      <c r="N573">
        <v>1.98</v>
      </c>
      <c r="O573">
        <v>-6.11</v>
      </c>
      <c r="P573">
        <v>-5.32</v>
      </c>
      <c r="Q573">
        <v>-2.1800000000000002</v>
      </c>
      <c r="R573">
        <v>9.4499999999999993</v>
      </c>
      <c r="S573">
        <v>-0.4</v>
      </c>
      <c r="T573">
        <v>1.98</v>
      </c>
      <c r="U573">
        <v>1.23</v>
      </c>
      <c r="V573">
        <v>1.77</v>
      </c>
      <c r="W573">
        <v>3.1</v>
      </c>
      <c r="X573">
        <v>2.86</v>
      </c>
      <c r="Y573">
        <v>1.52</v>
      </c>
      <c r="Z573">
        <v>1</v>
      </c>
      <c r="AA573">
        <v>4.97</v>
      </c>
      <c r="AB573">
        <v>3.01</v>
      </c>
      <c r="AC573">
        <v>0.7</v>
      </c>
      <c r="AD573">
        <v>3.3</v>
      </c>
      <c r="AE573">
        <v>0.26</v>
      </c>
      <c r="AF573">
        <v>2.206666666666667</v>
      </c>
      <c r="AG573" t="str">
        <f>HYPERLINK("https://finance.naver.com/item/fchart.naver?code=047040", "대우건설 차트보기")</f>
        <v>대우건설 차트보기</v>
      </c>
    </row>
    <row r="574" spans="1:33" x14ac:dyDescent="0.3">
      <c r="A574" t="s">
        <v>2323</v>
      </c>
      <c r="B574" t="s">
        <v>55</v>
      </c>
      <c r="C574" t="s">
        <v>2324</v>
      </c>
      <c r="D574">
        <v>330122.23999999999</v>
      </c>
      <c r="E574" t="s">
        <v>2325</v>
      </c>
      <c r="F574">
        <v>0</v>
      </c>
      <c r="G574">
        <v>1.470000028610229</v>
      </c>
      <c r="H574">
        <v>0</v>
      </c>
      <c r="I574">
        <v>0.79000002145767212</v>
      </c>
      <c r="J574" t="s">
        <v>2326</v>
      </c>
      <c r="K574">
        <v>6270</v>
      </c>
      <c r="L574">
        <v>6320</v>
      </c>
      <c r="M574">
        <v>0.8</v>
      </c>
      <c r="N574">
        <v>6.04</v>
      </c>
      <c r="O574">
        <v>0.67</v>
      </c>
      <c r="P574">
        <v>0.65</v>
      </c>
      <c r="Q574">
        <v>-8.68</v>
      </c>
      <c r="R574">
        <v>-13.1</v>
      </c>
      <c r="S574">
        <v>-13.97</v>
      </c>
      <c r="T574">
        <v>1.67</v>
      </c>
      <c r="U574">
        <v>2.91</v>
      </c>
      <c r="V574">
        <v>6.33</v>
      </c>
      <c r="W574">
        <v>4.0199999999999996</v>
      </c>
      <c r="X574">
        <v>4.6900000000000004</v>
      </c>
      <c r="Y574">
        <v>3.22</v>
      </c>
      <c r="Z574">
        <v>3.62</v>
      </c>
      <c r="AA574">
        <v>0.23</v>
      </c>
      <c r="AB574">
        <v>0.1</v>
      </c>
      <c r="AC574">
        <v>2.16</v>
      </c>
      <c r="AD574">
        <v>2.79</v>
      </c>
      <c r="AE574">
        <v>4.34</v>
      </c>
      <c r="AF574">
        <v>2.206666666666667</v>
      </c>
      <c r="AG574" t="str">
        <f>HYPERLINK("https://finance.naver.com/item/fchart.naver?code=019990", "에너토크 차트보기")</f>
        <v>에너토크 차트보기</v>
      </c>
    </row>
    <row r="575" spans="1:33" x14ac:dyDescent="0.3">
      <c r="A575" t="s">
        <v>2327</v>
      </c>
      <c r="B575" t="s">
        <v>34</v>
      </c>
      <c r="C575" t="s">
        <v>2328</v>
      </c>
      <c r="D575">
        <v>81253.05</v>
      </c>
      <c r="E575" t="s">
        <v>2329</v>
      </c>
      <c r="F575">
        <v>4.17</v>
      </c>
      <c r="G575">
        <v>0.62999999523162842</v>
      </c>
      <c r="H575">
        <v>109</v>
      </c>
      <c r="I575">
        <v>0</v>
      </c>
      <c r="J575" t="s">
        <v>2330</v>
      </c>
      <c r="K575">
        <v>532</v>
      </c>
      <c r="L575">
        <v>455</v>
      </c>
      <c r="M575">
        <v>-14.47</v>
      </c>
      <c r="N575">
        <v>0.89</v>
      </c>
      <c r="O575">
        <v>1.0900000000000001</v>
      </c>
      <c r="P575">
        <v>-3.54</v>
      </c>
      <c r="Q575">
        <v>-6.74</v>
      </c>
      <c r="R575">
        <v>1.1599999999999999</v>
      </c>
      <c r="S575">
        <v>-2.85</v>
      </c>
      <c r="T575">
        <v>1.47</v>
      </c>
      <c r="U575">
        <v>0.91</v>
      </c>
      <c r="V575">
        <v>1.17</v>
      </c>
      <c r="W575">
        <v>1.86</v>
      </c>
      <c r="X575">
        <v>0.77</v>
      </c>
      <c r="Y575">
        <v>0.87</v>
      </c>
      <c r="Z575">
        <v>0.61</v>
      </c>
      <c r="AA575">
        <v>1.2</v>
      </c>
      <c r="AB575">
        <v>3.03</v>
      </c>
      <c r="AC575">
        <v>3.62</v>
      </c>
      <c r="AD575">
        <v>1.51</v>
      </c>
      <c r="AE575">
        <v>3.28</v>
      </c>
      <c r="AF575">
        <v>2.208333333333333</v>
      </c>
      <c r="AG575" t="str">
        <f>HYPERLINK("https://finance.naver.com/item/fchart.naver?code=002630", "오리엔트바이오 차트보기")</f>
        <v>오리엔트바이오 차트보기</v>
      </c>
    </row>
    <row r="576" spans="1:33" x14ac:dyDescent="0.3">
      <c r="A576" t="s">
        <v>2331</v>
      </c>
      <c r="B576" t="s">
        <v>34</v>
      </c>
      <c r="C576" t="s">
        <v>2332</v>
      </c>
      <c r="D576">
        <v>263091.52</v>
      </c>
      <c r="E576" t="s">
        <v>2333</v>
      </c>
      <c r="F576">
        <v>38.64</v>
      </c>
      <c r="G576">
        <v>0.4699999988079071</v>
      </c>
      <c r="H576">
        <v>2808</v>
      </c>
      <c r="I576">
        <v>0</v>
      </c>
      <c r="J576" t="s">
        <v>2334</v>
      </c>
      <c r="K576">
        <v>109700</v>
      </c>
      <c r="L576">
        <v>108500</v>
      </c>
      <c r="M576">
        <v>-1.0900000000000001</v>
      </c>
      <c r="N576">
        <v>-10.92</v>
      </c>
      <c r="O576">
        <v>1.1200000000000001</v>
      </c>
      <c r="P576">
        <v>6.07</v>
      </c>
      <c r="Q576">
        <v>2.61</v>
      </c>
      <c r="R576">
        <v>-9.6300000000000008</v>
      </c>
      <c r="S576">
        <v>9.2200000000000006</v>
      </c>
      <c r="T576">
        <v>3.32</v>
      </c>
      <c r="U576">
        <v>2.48</v>
      </c>
      <c r="V576">
        <v>2.0499999999999998</v>
      </c>
      <c r="W576">
        <v>3.53</v>
      </c>
      <c r="X576">
        <v>2.4</v>
      </c>
      <c r="Y576">
        <v>5.09</v>
      </c>
      <c r="Z576">
        <v>3.29</v>
      </c>
      <c r="AA576">
        <v>0.45</v>
      </c>
      <c r="AB576">
        <v>2.96</v>
      </c>
      <c r="AC576">
        <v>0.74</v>
      </c>
      <c r="AD576">
        <v>4.01</v>
      </c>
      <c r="AE576">
        <v>1.81</v>
      </c>
      <c r="AF576">
        <v>2.21</v>
      </c>
      <c r="AG576" t="str">
        <f>HYPERLINK("https://finance.naver.com/item/fchart.naver?code=096770", "SK이노베이션 차트보기")</f>
        <v>SK이노베이션 차트보기</v>
      </c>
    </row>
    <row r="577" spans="1:33" x14ac:dyDescent="0.3">
      <c r="A577" t="s">
        <v>2335</v>
      </c>
      <c r="B577" t="s">
        <v>34</v>
      </c>
      <c r="C577" t="s">
        <v>2336</v>
      </c>
      <c r="D577">
        <v>18047.52</v>
      </c>
      <c r="E577" t="s">
        <v>2337</v>
      </c>
      <c r="F577">
        <v>7.11</v>
      </c>
      <c r="G577">
        <v>0.75999999046325684</v>
      </c>
      <c r="H577">
        <v>1537</v>
      </c>
      <c r="I577">
        <v>1.830000042915344</v>
      </c>
      <c r="J577" t="s">
        <v>2338</v>
      </c>
      <c r="K577">
        <v>14710</v>
      </c>
      <c r="L577">
        <v>10930</v>
      </c>
      <c r="M577">
        <v>-25.7</v>
      </c>
      <c r="N577">
        <v>2.25</v>
      </c>
      <c r="O577">
        <v>3.14</v>
      </c>
      <c r="P577">
        <v>-6.94</v>
      </c>
      <c r="Q577">
        <v>-8.9700000000000006</v>
      </c>
      <c r="R577">
        <v>-9.9</v>
      </c>
      <c r="S577">
        <v>-1.08</v>
      </c>
      <c r="T577">
        <v>1.73</v>
      </c>
      <c r="U577">
        <v>2.57</v>
      </c>
      <c r="V577">
        <v>2.2999999999999998</v>
      </c>
      <c r="W577">
        <v>4.29</v>
      </c>
      <c r="X577">
        <v>1.95</v>
      </c>
      <c r="Y577">
        <v>1.96</v>
      </c>
      <c r="Z577">
        <v>1.3</v>
      </c>
      <c r="AA577">
        <v>1.22</v>
      </c>
      <c r="AB577">
        <v>3.02</v>
      </c>
      <c r="AC577">
        <v>2.09</v>
      </c>
      <c r="AD577">
        <v>5.08</v>
      </c>
      <c r="AE577">
        <v>0.55000000000000004</v>
      </c>
      <c r="AF577">
        <v>2.21</v>
      </c>
      <c r="AG577" t="str">
        <f>HYPERLINK("https://finance.naver.com/item/fchart.naver?code=006890", "태경케미컬 차트보기")</f>
        <v>태경케미컬 차트보기</v>
      </c>
    </row>
    <row r="578" spans="1:33" x14ac:dyDescent="0.3">
      <c r="A578" t="s">
        <v>2339</v>
      </c>
      <c r="B578" t="s">
        <v>55</v>
      </c>
      <c r="C578" t="s">
        <v>2340</v>
      </c>
      <c r="D578">
        <v>55649.67</v>
      </c>
      <c r="E578" t="s">
        <v>2341</v>
      </c>
      <c r="F578">
        <v>61.4</v>
      </c>
      <c r="G578">
        <v>0.51999998092651367</v>
      </c>
      <c r="H578">
        <v>114</v>
      </c>
      <c r="I578">
        <v>3.1400001049041748</v>
      </c>
      <c r="J578" t="s">
        <v>2342</v>
      </c>
      <c r="K578">
        <v>7800</v>
      </c>
      <c r="L578">
        <v>7000</v>
      </c>
      <c r="M578">
        <v>-10.26</v>
      </c>
      <c r="N578">
        <v>-1.82</v>
      </c>
      <c r="O578">
        <v>0.71</v>
      </c>
      <c r="P578">
        <v>-3.12</v>
      </c>
      <c r="Q578">
        <v>-2.58</v>
      </c>
      <c r="R578">
        <v>2.82</v>
      </c>
      <c r="S578">
        <v>-2.5</v>
      </c>
      <c r="T578">
        <v>0.73</v>
      </c>
      <c r="U578">
        <v>1.1399999999999999</v>
      </c>
      <c r="V578">
        <v>1.28</v>
      </c>
      <c r="W578">
        <v>3.61</v>
      </c>
      <c r="X578">
        <v>0.93</v>
      </c>
      <c r="Y578">
        <v>0.63</v>
      </c>
      <c r="Z578">
        <v>2.4900000000000002</v>
      </c>
      <c r="AA578">
        <v>0.62</v>
      </c>
      <c r="AB578">
        <v>2.44</v>
      </c>
      <c r="AC578">
        <v>0.71</v>
      </c>
      <c r="AD578">
        <v>3.03</v>
      </c>
      <c r="AE578">
        <v>3.97</v>
      </c>
      <c r="AF578">
        <v>2.21</v>
      </c>
      <c r="AG578" t="str">
        <f>HYPERLINK("https://finance.naver.com/item/fchart.naver?code=001540", "안국약품 차트보기")</f>
        <v>안국약품 차트보기</v>
      </c>
    </row>
    <row r="579" spans="1:33" x14ac:dyDescent="0.3">
      <c r="A579" t="s">
        <v>2343</v>
      </c>
      <c r="B579" t="s">
        <v>34</v>
      </c>
      <c r="C579" t="s">
        <v>2344</v>
      </c>
      <c r="D579">
        <v>21411.62</v>
      </c>
      <c r="E579" t="s">
        <v>2345</v>
      </c>
      <c r="F579">
        <v>6.78</v>
      </c>
      <c r="G579">
        <v>0.28999999165534968</v>
      </c>
      <c r="H579">
        <v>2859</v>
      </c>
      <c r="I579">
        <v>1.809999942779541</v>
      </c>
      <c r="J579" t="s">
        <v>2346</v>
      </c>
      <c r="K579">
        <v>24350</v>
      </c>
      <c r="L579">
        <v>19390</v>
      </c>
      <c r="M579">
        <v>-20.37</v>
      </c>
      <c r="N579">
        <v>0.88</v>
      </c>
      <c r="O579">
        <v>0.78</v>
      </c>
      <c r="P579">
        <v>-2.1800000000000002</v>
      </c>
      <c r="Q579">
        <v>-4.04</v>
      </c>
      <c r="R579">
        <v>-8.1999999999999993</v>
      </c>
      <c r="S579">
        <v>-2.19</v>
      </c>
      <c r="T579">
        <v>0.8</v>
      </c>
      <c r="U579">
        <v>1.25</v>
      </c>
      <c r="V579">
        <v>1.1000000000000001</v>
      </c>
      <c r="W579">
        <v>1.55</v>
      </c>
      <c r="X579">
        <v>1.38</v>
      </c>
      <c r="Y579">
        <v>2.14</v>
      </c>
      <c r="Z579">
        <v>1.1000000000000001</v>
      </c>
      <c r="AA579">
        <v>0.62</v>
      </c>
      <c r="AB579">
        <v>1.98</v>
      </c>
      <c r="AC579">
        <v>2.61</v>
      </c>
      <c r="AD579">
        <v>5.94</v>
      </c>
      <c r="AE579">
        <v>1.02</v>
      </c>
      <c r="AF579">
        <v>2.211666666666666</v>
      </c>
      <c r="AG579" t="str">
        <f>HYPERLINK("https://finance.naver.com/item/fchart.naver?code=002240", "고려제강 차트보기")</f>
        <v>고려제강 차트보기</v>
      </c>
    </row>
    <row r="580" spans="1:33" x14ac:dyDescent="0.3">
      <c r="A580" t="s">
        <v>2347</v>
      </c>
      <c r="B580" t="s">
        <v>55</v>
      </c>
      <c r="C580" t="s">
        <v>2348</v>
      </c>
      <c r="D580">
        <v>37018.29</v>
      </c>
      <c r="E580" t="s">
        <v>2349</v>
      </c>
      <c r="F580">
        <v>0</v>
      </c>
      <c r="G580">
        <v>21.620000839233398</v>
      </c>
      <c r="H580">
        <v>0</v>
      </c>
      <c r="I580">
        <v>0</v>
      </c>
      <c r="J580" t="s">
        <v>2350</v>
      </c>
      <c r="K580">
        <v>38700</v>
      </c>
      <c r="L580">
        <v>21250</v>
      </c>
      <c r="M580">
        <v>-45.09</v>
      </c>
      <c r="N580">
        <v>-5.35</v>
      </c>
      <c r="O580">
        <v>-3.16</v>
      </c>
      <c r="P580">
        <v>2.4700000000000002</v>
      </c>
      <c r="Q580">
        <v>-23.11</v>
      </c>
      <c r="R580">
        <v>0.33</v>
      </c>
      <c r="S580">
        <v>-11.88</v>
      </c>
      <c r="T580">
        <v>3.15</v>
      </c>
      <c r="U580">
        <v>3.45</v>
      </c>
      <c r="V580">
        <v>4.72</v>
      </c>
      <c r="W580">
        <v>3.3</v>
      </c>
      <c r="X580">
        <v>2.71</v>
      </c>
      <c r="Y580">
        <v>3.94</v>
      </c>
      <c r="Z580">
        <v>1.7</v>
      </c>
      <c r="AA580">
        <v>0.92</v>
      </c>
      <c r="AB580">
        <v>0.52</v>
      </c>
      <c r="AC580">
        <v>7</v>
      </c>
      <c r="AD580">
        <v>0.12</v>
      </c>
      <c r="AE580">
        <v>3.02</v>
      </c>
      <c r="AF580">
        <v>2.2133333333333329</v>
      </c>
      <c r="AG580" t="str">
        <f>HYPERLINK("https://finance.naver.com/item/fchart.naver?code=179900", "유티아이 차트보기")</f>
        <v>유티아이 차트보기</v>
      </c>
    </row>
    <row r="581" spans="1:33" x14ac:dyDescent="0.3">
      <c r="A581" t="s">
        <v>2351</v>
      </c>
      <c r="B581" t="s">
        <v>55</v>
      </c>
      <c r="C581" t="s">
        <v>2352</v>
      </c>
      <c r="D581">
        <v>3681.14</v>
      </c>
      <c r="E581" t="s">
        <v>2353</v>
      </c>
      <c r="F581">
        <v>12.3</v>
      </c>
      <c r="G581">
        <v>0.75999999046325684</v>
      </c>
      <c r="H581">
        <v>337</v>
      </c>
      <c r="I581">
        <v>0</v>
      </c>
      <c r="J581" t="s">
        <v>2354</v>
      </c>
      <c r="K581">
        <v>5030</v>
      </c>
      <c r="L581">
        <v>4145</v>
      </c>
      <c r="M581">
        <v>-17.59</v>
      </c>
      <c r="N581">
        <v>-1.54</v>
      </c>
      <c r="O581">
        <v>-3.44</v>
      </c>
      <c r="P581">
        <v>2.95</v>
      </c>
      <c r="Q581">
        <v>-16.989999999999998</v>
      </c>
      <c r="R581">
        <v>-3.25</v>
      </c>
      <c r="S581">
        <v>0.6</v>
      </c>
      <c r="T581">
        <v>0.9</v>
      </c>
      <c r="U581">
        <v>0.99</v>
      </c>
      <c r="V581">
        <v>1.64</v>
      </c>
      <c r="W581">
        <v>4.0999999999999996</v>
      </c>
      <c r="X581">
        <v>1.76</v>
      </c>
      <c r="Y581">
        <v>1.91</v>
      </c>
      <c r="Z581">
        <v>1.71</v>
      </c>
      <c r="AA581">
        <v>3.47</v>
      </c>
      <c r="AB581">
        <v>1.8</v>
      </c>
      <c r="AC581">
        <v>4.1399999999999997</v>
      </c>
      <c r="AD581">
        <v>1.85</v>
      </c>
      <c r="AE581">
        <v>0.31</v>
      </c>
      <c r="AF581">
        <v>2.2133333333333329</v>
      </c>
      <c r="AG581" t="str">
        <f>HYPERLINK("https://finance.naver.com/item/fchart.naver?code=134060", "이퓨쳐 차트보기")</f>
        <v>이퓨쳐 차트보기</v>
      </c>
    </row>
    <row r="582" spans="1:33" x14ac:dyDescent="0.3">
      <c r="A582" t="s">
        <v>2355</v>
      </c>
      <c r="B582" t="s">
        <v>55</v>
      </c>
      <c r="C582" t="s">
        <v>2356</v>
      </c>
      <c r="D582">
        <v>13137.29</v>
      </c>
      <c r="E582" t="s">
        <v>2357</v>
      </c>
      <c r="F582">
        <v>4.93</v>
      </c>
      <c r="G582">
        <v>0.44999998807907099</v>
      </c>
      <c r="H582">
        <v>822</v>
      </c>
      <c r="I582">
        <v>2.720000028610229</v>
      </c>
      <c r="J582" t="s">
        <v>2358</v>
      </c>
      <c r="K582">
        <v>4185</v>
      </c>
      <c r="L582">
        <v>4050</v>
      </c>
      <c r="M582">
        <v>-3.23</v>
      </c>
      <c r="N582">
        <v>-0.37</v>
      </c>
      <c r="O582">
        <v>2.25</v>
      </c>
      <c r="P582">
        <v>-1.1100000000000001</v>
      </c>
      <c r="Q582">
        <v>1.25</v>
      </c>
      <c r="R582">
        <v>-2.44</v>
      </c>
      <c r="S582">
        <v>-1.93</v>
      </c>
      <c r="T582">
        <v>0.62</v>
      </c>
      <c r="U582">
        <v>0.95</v>
      </c>
      <c r="V582">
        <v>0.49</v>
      </c>
      <c r="W582">
        <v>2.4900000000000002</v>
      </c>
      <c r="X582">
        <v>0.66</v>
      </c>
      <c r="Y582">
        <v>0.5</v>
      </c>
      <c r="Z582">
        <v>0.6</v>
      </c>
      <c r="AA582">
        <v>2.37</v>
      </c>
      <c r="AB582">
        <v>2.27</v>
      </c>
      <c r="AC582">
        <v>0.5</v>
      </c>
      <c r="AD582">
        <v>3.7</v>
      </c>
      <c r="AE582">
        <v>3.86</v>
      </c>
      <c r="AF582">
        <v>2.2166666666666668</v>
      </c>
      <c r="AG582" t="str">
        <f>HYPERLINK("https://finance.naver.com/item/fchart.naver?code=004780", "대륙제관 차트보기")</f>
        <v>대륙제관 차트보기</v>
      </c>
    </row>
    <row r="583" spans="1:33" x14ac:dyDescent="0.3">
      <c r="A583" t="s">
        <v>2359</v>
      </c>
      <c r="B583" t="s">
        <v>34</v>
      </c>
      <c r="C583" t="s">
        <v>2360</v>
      </c>
      <c r="D583">
        <v>66805.100000000006</v>
      </c>
      <c r="E583" t="s">
        <v>2361</v>
      </c>
      <c r="F583">
        <v>21.67</v>
      </c>
      <c r="G583">
        <v>1.799999952316284</v>
      </c>
      <c r="H583">
        <v>2194</v>
      </c>
      <c r="I583">
        <v>1.2599999904632571</v>
      </c>
      <c r="J583" t="s">
        <v>2362</v>
      </c>
      <c r="K583">
        <v>42750</v>
      </c>
      <c r="L583">
        <v>47550</v>
      </c>
      <c r="M583">
        <v>11.23</v>
      </c>
      <c r="N583">
        <v>-6.03</v>
      </c>
      <c r="O583">
        <v>13.33</v>
      </c>
      <c r="P583">
        <v>2.56</v>
      </c>
      <c r="Q583">
        <v>-11.97</v>
      </c>
      <c r="R583">
        <v>-2.38</v>
      </c>
      <c r="S583">
        <v>5.74</v>
      </c>
      <c r="T583">
        <v>1.71</v>
      </c>
      <c r="U583">
        <v>4.04</v>
      </c>
      <c r="V583">
        <v>2.58</v>
      </c>
      <c r="W583">
        <v>4.8099999999999996</v>
      </c>
      <c r="X583">
        <v>2.8</v>
      </c>
      <c r="Y583">
        <v>2.68</v>
      </c>
      <c r="Z583">
        <v>3.53</v>
      </c>
      <c r="AA583">
        <v>3.3</v>
      </c>
      <c r="AB583">
        <v>0.99</v>
      </c>
      <c r="AC583">
        <v>2.4900000000000002</v>
      </c>
      <c r="AD583">
        <v>0.85</v>
      </c>
      <c r="AE583">
        <v>2.14</v>
      </c>
      <c r="AF583">
        <v>2.2166666666666668</v>
      </c>
      <c r="AG583" t="str">
        <f>HYPERLINK("https://finance.naver.com/item/fchart.naver?code=014820", "동원시스템즈 차트보기")</f>
        <v>동원시스템즈 차트보기</v>
      </c>
    </row>
    <row r="584" spans="1:33" x14ac:dyDescent="0.3">
      <c r="A584" t="s">
        <v>2363</v>
      </c>
      <c r="B584" t="s">
        <v>34</v>
      </c>
      <c r="C584" t="s">
        <v>2364</v>
      </c>
      <c r="D584">
        <v>14758.9</v>
      </c>
      <c r="E584" t="s">
        <v>2365</v>
      </c>
      <c r="F584">
        <v>0</v>
      </c>
      <c r="G584">
        <v>0.14000000059604639</v>
      </c>
      <c r="H584">
        <v>0</v>
      </c>
      <c r="I584">
        <v>3.8599998950958252</v>
      </c>
      <c r="J584" t="s">
        <v>2366</v>
      </c>
      <c r="K584">
        <v>9620</v>
      </c>
      <c r="L584">
        <v>7770</v>
      </c>
      <c r="M584">
        <v>-19.23</v>
      </c>
      <c r="N584">
        <v>-2.75</v>
      </c>
      <c r="O584">
        <v>-1.1100000000000001</v>
      </c>
      <c r="P584">
        <v>-1.08</v>
      </c>
      <c r="Q584">
        <v>-7.39</v>
      </c>
      <c r="R584">
        <v>0.33</v>
      </c>
      <c r="S584">
        <v>-3.51</v>
      </c>
      <c r="T584">
        <v>0.97</v>
      </c>
      <c r="U584">
        <v>0.61</v>
      </c>
      <c r="V584">
        <v>1.1299999999999999</v>
      </c>
      <c r="W584">
        <v>1.93</v>
      </c>
      <c r="X584">
        <v>1.08</v>
      </c>
      <c r="Y584">
        <v>0.99</v>
      </c>
      <c r="Z584">
        <v>2.84</v>
      </c>
      <c r="AA584">
        <v>1.82</v>
      </c>
      <c r="AB584">
        <v>0.96</v>
      </c>
      <c r="AC584">
        <v>3.83</v>
      </c>
      <c r="AD584">
        <v>0.31</v>
      </c>
      <c r="AE584">
        <v>3.55</v>
      </c>
      <c r="AF584">
        <v>2.2183333333333328</v>
      </c>
      <c r="AG584" t="str">
        <f>HYPERLINK("https://finance.naver.com/item/fchart.naver?code=071840", "롯데하이마트 차트보기")</f>
        <v>롯데하이마트 차트보기</v>
      </c>
    </row>
    <row r="585" spans="1:33" x14ac:dyDescent="0.3">
      <c r="A585" t="s">
        <v>2367</v>
      </c>
      <c r="B585" t="s">
        <v>55</v>
      </c>
      <c r="C585" t="s">
        <v>2368</v>
      </c>
      <c r="D585">
        <v>7345.24</v>
      </c>
      <c r="E585" t="s">
        <v>2369</v>
      </c>
      <c r="F585">
        <v>4.8099999999999996</v>
      </c>
      <c r="G585">
        <v>0.49000000953674322</v>
      </c>
      <c r="H585">
        <v>7678</v>
      </c>
      <c r="I585">
        <v>3.25</v>
      </c>
      <c r="J585" t="s">
        <v>2370</v>
      </c>
      <c r="K585">
        <v>41700</v>
      </c>
      <c r="L585">
        <v>36950</v>
      </c>
      <c r="M585">
        <v>-11.39</v>
      </c>
      <c r="N585">
        <v>-3.9</v>
      </c>
      <c r="O585">
        <v>-1.91</v>
      </c>
      <c r="P585">
        <v>0.51</v>
      </c>
      <c r="Q585">
        <v>-6.53</v>
      </c>
      <c r="R585">
        <v>-0.93</v>
      </c>
      <c r="S585">
        <v>-0.12</v>
      </c>
      <c r="T585">
        <v>0.86</v>
      </c>
      <c r="U585">
        <v>0.82</v>
      </c>
      <c r="V585">
        <v>0.89</v>
      </c>
      <c r="W585">
        <v>1.35</v>
      </c>
      <c r="X585">
        <v>0.95</v>
      </c>
      <c r="Y585">
        <v>2.17</v>
      </c>
      <c r="Z585">
        <v>4.53</v>
      </c>
      <c r="AA585">
        <v>2.33</v>
      </c>
      <c r="AB585">
        <v>0.56999999999999995</v>
      </c>
      <c r="AC585">
        <v>4.84</v>
      </c>
      <c r="AD585">
        <v>0.98</v>
      </c>
      <c r="AE585">
        <v>0.06</v>
      </c>
      <c r="AF585">
        <v>2.2183333333333328</v>
      </c>
      <c r="AG585" t="str">
        <f>HYPERLINK("https://finance.naver.com/item/fchart.naver?code=267980", "매일유업 차트보기")</f>
        <v>매일유업 차트보기</v>
      </c>
    </row>
    <row r="586" spans="1:33" x14ac:dyDescent="0.3">
      <c r="A586" t="s">
        <v>2371</v>
      </c>
      <c r="B586" t="s">
        <v>55</v>
      </c>
      <c r="C586" t="s">
        <v>2372</v>
      </c>
      <c r="D586">
        <v>149448.29</v>
      </c>
      <c r="E586" t="s">
        <v>2373</v>
      </c>
      <c r="F586">
        <v>17.52</v>
      </c>
      <c r="G586">
        <v>0.81999999284744263</v>
      </c>
      <c r="H586">
        <v>123</v>
      </c>
      <c r="I586">
        <v>0</v>
      </c>
      <c r="J586" t="s">
        <v>2374</v>
      </c>
      <c r="K586">
        <v>3720</v>
      </c>
      <c r="L586">
        <v>2155</v>
      </c>
      <c r="M586">
        <v>-42.07</v>
      </c>
      <c r="N586">
        <v>-5.69</v>
      </c>
      <c r="O586">
        <v>-11.09</v>
      </c>
      <c r="P586">
        <v>5.7</v>
      </c>
      <c r="Q586">
        <v>-14.04</v>
      </c>
      <c r="R586">
        <v>-4.95</v>
      </c>
      <c r="S586">
        <v>9.36</v>
      </c>
      <c r="T586">
        <v>2.72</v>
      </c>
      <c r="U586">
        <v>2.73</v>
      </c>
      <c r="V586">
        <v>4.91</v>
      </c>
      <c r="W586">
        <v>6.5</v>
      </c>
      <c r="X586">
        <v>3.13</v>
      </c>
      <c r="Y586">
        <v>4.12</v>
      </c>
      <c r="Z586">
        <v>2.09</v>
      </c>
      <c r="AA586">
        <v>4.0599999999999996</v>
      </c>
      <c r="AB586">
        <v>1.1599999999999999</v>
      </c>
      <c r="AC586">
        <v>2.16</v>
      </c>
      <c r="AD586">
        <v>1.58</v>
      </c>
      <c r="AE586">
        <v>2.27</v>
      </c>
      <c r="AF586">
        <v>2.2200000000000002</v>
      </c>
      <c r="AG586" t="str">
        <f>HYPERLINK("https://finance.naver.com/item/fchart.naver?code=347770", "핌스 차트보기")</f>
        <v>핌스 차트보기</v>
      </c>
    </row>
    <row r="587" spans="1:33" x14ac:dyDescent="0.3">
      <c r="A587" t="s">
        <v>2375</v>
      </c>
      <c r="B587" t="s">
        <v>55</v>
      </c>
      <c r="C587" t="s">
        <v>2376</v>
      </c>
      <c r="D587">
        <v>37202.19</v>
      </c>
      <c r="E587" t="s">
        <v>2377</v>
      </c>
      <c r="F587">
        <v>13.61</v>
      </c>
      <c r="G587">
        <v>0.63999998569488525</v>
      </c>
      <c r="H587">
        <v>219</v>
      </c>
      <c r="I587">
        <v>3.3599998950958252</v>
      </c>
      <c r="J587" t="s">
        <v>2378</v>
      </c>
      <c r="K587">
        <v>3455</v>
      </c>
      <c r="L587">
        <v>2980</v>
      </c>
      <c r="M587">
        <v>-13.75</v>
      </c>
      <c r="N587">
        <v>-2.13</v>
      </c>
      <c r="O587">
        <v>4.08</v>
      </c>
      <c r="P587">
        <v>-1.34</v>
      </c>
      <c r="Q587">
        <v>-4.1500000000000004</v>
      </c>
      <c r="R587">
        <v>-6.33</v>
      </c>
      <c r="S587">
        <v>0.92</v>
      </c>
      <c r="T587">
        <v>1.03</v>
      </c>
      <c r="U587">
        <v>1.62</v>
      </c>
      <c r="V587">
        <v>1.6</v>
      </c>
      <c r="W587">
        <v>2.17</v>
      </c>
      <c r="X587">
        <v>1.17</v>
      </c>
      <c r="Y587">
        <v>1.61</v>
      </c>
      <c r="Z587">
        <v>2.0699999999999998</v>
      </c>
      <c r="AA587">
        <v>2.52</v>
      </c>
      <c r="AB587">
        <v>0.84</v>
      </c>
      <c r="AC587">
        <v>1.91</v>
      </c>
      <c r="AD587">
        <v>5.41</v>
      </c>
      <c r="AE587">
        <v>0.56999999999999995</v>
      </c>
      <c r="AF587">
        <v>2.2200000000000002</v>
      </c>
      <c r="AG587" t="str">
        <f>HYPERLINK("https://finance.naver.com/item/fchart.naver?code=067010", "이씨에스 차트보기")</f>
        <v>이씨에스 차트보기</v>
      </c>
    </row>
    <row r="588" spans="1:33" x14ac:dyDescent="0.3">
      <c r="A588" t="s">
        <v>2379</v>
      </c>
      <c r="B588" t="s">
        <v>55</v>
      </c>
      <c r="C588" t="s">
        <v>2380</v>
      </c>
      <c r="D588">
        <v>8401.43</v>
      </c>
      <c r="E588" t="s">
        <v>2381</v>
      </c>
      <c r="F588">
        <v>15.57</v>
      </c>
      <c r="G588">
        <v>0.56000000238418579</v>
      </c>
      <c r="H588">
        <v>281</v>
      </c>
      <c r="I588">
        <v>2.970000028610229</v>
      </c>
      <c r="J588" t="s">
        <v>2382</v>
      </c>
      <c r="K588">
        <v>5440</v>
      </c>
      <c r="L588">
        <v>4375</v>
      </c>
      <c r="M588">
        <v>-19.579999999999998</v>
      </c>
      <c r="N588">
        <v>-4.4800000000000004</v>
      </c>
      <c r="O588">
        <v>-0.11</v>
      </c>
      <c r="P588">
        <v>-6.32</v>
      </c>
      <c r="Q588">
        <v>-2.48</v>
      </c>
      <c r="R588">
        <v>0</v>
      </c>
      <c r="S588">
        <v>-10.32</v>
      </c>
      <c r="T588">
        <v>1.36</v>
      </c>
      <c r="U588">
        <v>1.31</v>
      </c>
      <c r="V588">
        <v>1.57</v>
      </c>
      <c r="W588">
        <v>3.05</v>
      </c>
      <c r="X588">
        <v>1.59</v>
      </c>
      <c r="Y588">
        <v>2.02</v>
      </c>
      <c r="Z588">
        <v>3.29</v>
      </c>
      <c r="AA588">
        <v>0.08</v>
      </c>
      <c r="AB588">
        <v>4.03</v>
      </c>
      <c r="AC588">
        <v>0.81</v>
      </c>
      <c r="AD588">
        <v>0</v>
      </c>
      <c r="AE588">
        <v>5.1100000000000003</v>
      </c>
      <c r="AF588">
        <v>2.2200000000000002</v>
      </c>
      <c r="AG588" t="str">
        <f>HYPERLINK("https://finance.naver.com/item/fchart.naver?code=053260", "금강철강 차트보기")</f>
        <v>금강철강 차트보기</v>
      </c>
    </row>
    <row r="589" spans="1:33" x14ac:dyDescent="0.3">
      <c r="A589" t="s">
        <v>2383</v>
      </c>
      <c r="B589" t="s">
        <v>34</v>
      </c>
      <c r="C589" t="s">
        <v>2384</v>
      </c>
      <c r="D589">
        <v>337889.38</v>
      </c>
      <c r="E589" t="s">
        <v>2385</v>
      </c>
      <c r="F589">
        <v>4.3499999999999996</v>
      </c>
      <c r="G589">
        <v>0.5</v>
      </c>
      <c r="H589">
        <v>1864</v>
      </c>
      <c r="I589">
        <v>3.7000000476837158</v>
      </c>
      <c r="J589" t="s">
        <v>2386</v>
      </c>
      <c r="K589">
        <v>7560</v>
      </c>
      <c r="L589">
        <v>8100</v>
      </c>
      <c r="M589">
        <v>7.14</v>
      </c>
      <c r="N589">
        <v>-4.71</v>
      </c>
      <c r="O589">
        <v>16.440000000000001</v>
      </c>
      <c r="P589">
        <v>0.68</v>
      </c>
      <c r="Q589">
        <v>1.42</v>
      </c>
      <c r="R589">
        <v>0.28999999999999998</v>
      </c>
      <c r="S589">
        <v>-3.42</v>
      </c>
      <c r="T589">
        <v>1.74</v>
      </c>
      <c r="U589">
        <v>3.94</v>
      </c>
      <c r="V589">
        <v>1.66</v>
      </c>
      <c r="W589">
        <v>2.0299999999999998</v>
      </c>
      <c r="X589">
        <v>1.22</v>
      </c>
      <c r="Y589">
        <v>0.67</v>
      </c>
      <c r="Z589">
        <v>2.71</v>
      </c>
      <c r="AA589">
        <v>4.17</v>
      </c>
      <c r="AB589">
        <v>0.41</v>
      </c>
      <c r="AC589">
        <v>0.7</v>
      </c>
      <c r="AD589">
        <v>0.24</v>
      </c>
      <c r="AE589">
        <v>5.0999999999999996</v>
      </c>
      <c r="AF589">
        <v>2.2216666666666671</v>
      </c>
      <c r="AG589" t="str">
        <f>HYPERLINK("https://finance.naver.com/item/fchart.naver?code=111110", "호전실업 차트보기")</f>
        <v>호전실업 차트보기</v>
      </c>
    </row>
    <row r="590" spans="1:33" x14ac:dyDescent="0.3">
      <c r="A590" t="s">
        <v>2387</v>
      </c>
      <c r="B590" t="s">
        <v>34</v>
      </c>
      <c r="C590" t="s">
        <v>2388</v>
      </c>
      <c r="D590">
        <v>185082.81</v>
      </c>
      <c r="E590" t="s">
        <v>2389</v>
      </c>
      <c r="F590">
        <v>2.29</v>
      </c>
      <c r="G590">
        <v>0.54000002145767212</v>
      </c>
      <c r="H590">
        <v>966</v>
      </c>
      <c r="I590">
        <v>0</v>
      </c>
      <c r="J590" t="s">
        <v>2390</v>
      </c>
      <c r="K590">
        <v>3530</v>
      </c>
      <c r="L590">
        <v>2210</v>
      </c>
      <c r="M590">
        <v>-37.39</v>
      </c>
      <c r="N590">
        <v>-4.74</v>
      </c>
      <c r="O590">
        <v>-6.39</v>
      </c>
      <c r="P590">
        <v>-5.97</v>
      </c>
      <c r="Q590">
        <v>-7.69</v>
      </c>
      <c r="R590">
        <v>4.4400000000000004</v>
      </c>
      <c r="S590">
        <v>-6.57</v>
      </c>
      <c r="T590">
        <v>1.78</v>
      </c>
      <c r="U590">
        <v>2.4700000000000002</v>
      </c>
      <c r="V590">
        <v>2.11</v>
      </c>
      <c r="W590">
        <v>3.01</v>
      </c>
      <c r="X590">
        <v>2.65</v>
      </c>
      <c r="Y590">
        <v>6.37</v>
      </c>
      <c r="Z590">
        <v>2.66</v>
      </c>
      <c r="AA590">
        <v>2.59</v>
      </c>
      <c r="AB590">
        <v>2.83</v>
      </c>
      <c r="AC590">
        <v>2.5499999999999998</v>
      </c>
      <c r="AD590">
        <v>1.68</v>
      </c>
      <c r="AE590">
        <v>1.03</v>
      </c>
      <c r="AF590">
        <v>2.2233333333333332</v>
      </c>
      <c r="AG590" t="str">
        <f>HYPERLINK("https://finance.naver.com/item/fchart.naver?code=000400", "롯데손해보험 차트보기")</f>
        <v>롯데손해보험 차트보기</v>
      </c>
    </row>
    <row r="591" spans="1:33" x14ac:dyDescent="0.3">
      <c r="A591" t="s">
        <v>2391</v>
      </c>
      <c r="B591" t="s">
        <v>55</v>
      </c>
      <c r="C591" t="s">
        <v>2392</v>
      </c>
      <c r="D591">
        <v>81249.100000000006</v>
      </c>
      <c r="E591" t="s">
        <v>2393</v>
      </c>
      <c r="F591">
        <v>50.97</v>
      </c>
      <c r="G591">
        <v>3.7999999523162842</v>
      </c>
      <c r="H591">
        <v>1489</v>
      </c>
      <c r="I591">
        <v>0.33000001311302191</v>
      </c>
      <c r="J591" t="s">
        <v>2394</v>
      </c>
      <c r="K591">
        <v>110900</v>
      </c>
      <c r="L591">
        <v>75900</v>
      </c>
      <c r="M591">
        <v>-31.56</v>
      </c>
      <c r="N591">
        <v>-9.86</v>
      </c>
      <c r="O591">
        <v>-6.55</v>
      </c>
      <c r="P591">
        <v>-1.47</v>
      </c>
      <c r="Q591">
        <v>-6.17</v>
      </c>
      <c r="R591">
        <v>-19.600000000000001</v>
      </c>
      <c r="S591">
        <v>6.33</v>
      </c>
      <c r="T591">
        <v>5.05</v>
      </c>
      <c r="U591">
        <v>2.97</v>
      </c>
      <c r="V591">
        <v>3.67</v>
      </c>
      <c r="W591">
        <v>5.99</v>
      </c>
      <c r="X591">
        <v>3.04</v>
      </c>
      <c r="Y591">
        <v>4.84</v>
      </c>
      <c r="Z591">
        <v>1.95</v>
      </c>
      <c r="AA591">
        <v>2.21</v>
      </c>
      <c r="AB591">
        <v>0.4</v>
      </c>
      <c r="AC591">
        <v>1.03</v>
      </c>
      <c r="AD591">
        <v>6.45</v>
      </c>
      <c r="AE591">
        <v>1.31</v>
      </c>
      <c r="AF591">
        <v>2.2250000000000001</v>
      </c>
      <c r="AG591" t="str">
        <f>HYPERLINK("https://finance.naver.com/item/fchart.naver?code=121600", "나노신소재 차트보기")</f>
        <v>나노신소재 차트보기</v>
      </c>
    </row>
    <row r="592" spans="1:33" x14ac:dyDescent="0.3">
      <c r="A592" t="s">
        <v>2395</v>
      </c>
      <c r="B592" t="s">
        <v>34</v>
      </c>
      <c r="C592" t="s">
        <v>2396</v>
      </c>
      <c r="D592">
        <v>40885.71</v>
      </c>
      <c r="E592" t="s">
        <v>2397</v>
      </c>
      <c r="F592">
        <v>18.829999999999998</v>
      </c>
      <c r="G592">
        <v>2.1400001049041748</v>
      </c>
      <c r="H592">
        <v>366</v>
      </c>
      <c r="I592">
        <v>3.630000114440918</v>
      </c>
      <c r="J592" t="s">
        <v>2398</v>
      </c>
      <c r="K592">
        <v>6630</v>
      </c>
      <c r="L592">
        <v>6890</v>
      </c>
      <c r="M592">
        <v>3.92</v>
      </c>
      <c r="N592">
        <v>-3.23</v>
      </c>
      <c r="O592">
        <v>6.19</v>
      </c>
      <c r="P592">
        <v>4.47</v>
      </c>
      <c r="Q592">
        <v>1.1000000000000001</v>
      </c>
      <c r="R592">
        <v>-9.09</v>
      </c>
      <c r="S592">
        <v>0.94</v>
      </c>
      <c r="T592">
        <v>1.66</v>
      </c>
      <c r="U592">
        <v>1.45</v>
      </c>
      <c r="V592">
        <v>1.89</v>
      </c>
      <c r="W592">
        <v>2.78</v>
      </c>
      <c r="X592">
        <v>2.52</v>
      </c>
      <c r="Y592">
        <v>1.23</v>
      </c>
      <c r="Z592">
        <v>1.95</v>
      </c>
      <c r="AA592">
        <v>4.2699999999999996</v>
      </c>
      <c r="AB592">
        <v>2.37</v>
      </c>
      <c r="AC592">
        <v>0.4</v>
      </c>
      <c r="AD592">
        <v>3.61</v>
      </c>
      <c r="AE592">
        <v>0.76</v>
      </c>
      <c r="AF592">
        <v>2.226666666666667</v>
      </c>
      <c r="AG592" t="str">
        <f>HYPERLINK("https://finance.naver.com/item/fchart.naver?code=010640", "진양폴리 차트보기")</f>
        <v>진양폴리 차트보기</v>
      </c>
    </row>
    <row r="593" spans="1:33" x14ac:dyDescent="0.3">
      <c r="A593" t="s">
        <v>2399</v>
      </c>
      <c r="B593" t="s">
        <v>55</v>
      </c>
      <c r="C593" t="s">
        <v>2400</v>
      </c>
      <c r="D593">
        <v>585595.56999999995</v>
      </c>
      <c r="E593" t="s">
        <v>2401</v>
      </c>
      <c r="F593">
        <v>25.11</v>
      </c>
      <c r="G593">
        <v>0.8399999737739563</v>
      </c>
      <c r="H593">
        <v>454</v>
      </c>
      <c r="I593">
        <v>0.87999999523162842</v>
      </c>
      <c r="J593" t="s">
        <v>2402</v>
      </c>
      <c r="K593">
        <v>18073</v>
      </c>
      <c r="L593">
        <v>11400</v>
      </c>
      <c r="M593">
        <v>-36.92</v>
      </c>
      <c r="N593">
        <v>-4.28</v>
      </c>
      <c r="O593">
        <v>-2.59</v>
      </c>
      <c r="P593">
        <v>7.43</v>
      </c>
      <c r="Q593">
        <v>-30.44</v>
      </c>
      <c r="R593">
        <v>-15.24</v>
      </c>
      <c r="S593">
        <v>-9.26</v>
      </c>
      <c r="T593">
        <v>5</v>
      </c>
      <c r="U593">
        <v>3.54</v>
      </c>
      <c r="V593">
        <v>6.02</v>
      </c>
      <c r="W593">
        <v>5.42</v>
      </c>
      <c r="X593">
        <v>7.31</v>
      </c>
      <c r="Y593">
        <v>3.25</v>
      </c>
      <c r="Z593">
        <v>0.86</v>
      </c>
      <c r="AA593">
        <v>0.73</v>
      </c>
      <c r="AB593">
        <v>1.23</v>
      </c>
      <c r="AC593">
        <v>5.62</v>
      </c>
      <c r="AD593">
        <v>2.08</v>
      </c>
      <c r="AE593">
        <v>2.85</v>
      </c>
      <c r="AF593">
        <v>2.2283333333333331</v>
      </c>
      <c r="AG593" t="str">
        <f>HYPERLINK("https://finance.naver.com/item/fchart.naver?code=092870", "엑시콘 차트보기")</f>
        <v>엑시콘 차트보기</v>
      </c>
    </row>
    <row r="594" spans="1:33" x14ac:dyDescent="0.3">
      <c r="A594" t="s">
        <v>2403</v>
      </c>
      <c r="B594" t="s">
        <v>55</v>
      </c>
      <c r="C594" t="s">
        <v>2404</v>
      </c>
      <c r="D594">
        <v>143014.04999999999</v>
      </c>
      <c r="E594" t="s">
        <v>2405</v>
      </c>
      <c r="F594">
        <v>0</v>
      </c>
      <c r="G594">
        <v>1.799999952316284</v>
      </c>
      <c r="H594">
        <v>0</v>
      </c>
      <c r="I594">
        <v>0</v>
      </c>
      <c r="J594" t="s">
        <v>2406</v>
      </c>
      <c r="K594">
        <v>7530</v>
      </c>
      <c r="L594">
        <v>4700</v>
      </c>
      <c r="M594">
        <v>-37.58</v>
      </c>
      <c r="N594">
        <v>-10.31</v>
      </c>
      <c r="O594">
        <v>-23.69</v>
      </c>
      <c r="P594">
        <v>-8.5500000000000007</v>
      </c>
      <c r="Q594">
        <v>0.3</v>
      </c>
      <c r="R594">
        <v>-5.97</v>
      </c>
      <c r="S594">
        <v>-3.28</v>
      </c>
      <c r="T594">
        <v>8.44</v>
      </c>
      <c r="U594">
        <v>4.2300000000000004</v>
      </c>
      <c r="V594">
        <v>2.1800000000000002</v>
      </c>
      <c r="W594">
        <v>3.62</v>
      </c>
      <c r="X594">
        <v>4.53</v>
      </c>
      <c r="Y594">
        <v>2.65</v>
      </c>
      <c r="Z594">
        <v>1.22</v>
      </c>
      <c r="AA594">
        <v>5.6</v>
      </c>
      <c r="AB594">
        <v>3.92</v>
      </c>
      <c r="AC594">
        <v>0.08</v>
      </c>
      <c r="AD594">
        <v>1.32</v>
      </c>
      <c r="AE594">
        <v>1.24</v>
      </c>
      <c r="AF594">
        <v>2.23</v>
      </c>
      <c r="AG594" t="str">
        <f>HYPERLINK("https://finance.naver.com/item/fchart.naver?code=175140", "휴먼테크놀로지 차트보기")</f>
        <v>휴먼테크놀로지 차트보기</v>
      </c>
    </row>
    <row r="595" spans="1:33" x14ac:dyDescent="0.3">
      <c r="A595" t="s">
        <v>2407</v>
      </c>
      <c r="B595" t="s">
        <v>55</v>
      </c>
      <c r="C595" t="s">
        <v>2408</v>
      </c>
      <c r="D595">
        <v>195140.1</v>
      </c>
      <c r="E595" t="s">
        <v>2409</v>
      </c>
      <c r="F595">
        <v>0</v>
      </c>
      <c r="G595">
        <v>2.0499999523162842</v>
      </c>
      <c r="H595">
        <v>0</v>
      </c>
      <c r="I595">
        <v>0</v>
      </c>
      <c r="J595" t="s">
        <v>2410</v>
      </c>
      <c r="K595">
        <v>13960</v>
      </c>
      <c r="L595">
        <v>6200</v>
      </c>
      <c r="M595">
        <v>-55.59</v>
      </c>
      <c r="N595">
        <v>-2.21</v>
      </c>
      <c r="O595">
        <v>7.68</v>
      </c>
      <c r="P595">
        <v>-4.6900000000000004</v>
      </c>
      <c r="Q595">
        <v>2.48</v>
      </c>
      <c r="R595">
        <v>1.9</v>
      </c>
      <c r="S595">
        <v>-18.600000000000001</v>
      </c>
      <c r="T595">
        <v>8.09</v>
      </c>
      <c r="U595">
        <v>2.73</v>
      </c>
      <c r="V595">
        <v>3.26</v>
      </c>
      <c r="W595">
        <v>4.92</v>
      </c>
      <c r="X595">
        <v>2.91</v>
      </c>
      <c r="Y595">
        <v>2.41</v>
      </c>
      <c r="Z595">
        <v>0.27</v>
      </c>
      <c r="AA595">
        <v>2.81</v>
      </c>
      <c r="AB595">
        <v>1.44</v>
      </c>
      <c r="AC595">
        <v>0.5</v>
      </c>
      <c r="AD595">
        <v>0.65</v>
      </c>
      <c r="AE595">
        <v>7.72</v>
      </c>
      <c r="AF595">
        <v>2.2316666666666669</v>
      </c>
      <c r="AG595" t="str">
        <f>HYPERLINK("https://finance.naver.com/item/fchart.naver?code=365270", "큐라클 차트보기")</f>
        <v>큐라클 차트보기</v>
      </c>
    </row>
    <row r="596" spans="1:33" x14ac:dyDescent="0.3">
      <c r="A596" t="s">
        <v>2411</v>
      </c>
      <c r="B596" t="s">
        <v>55</v>
      </c>
      <c r="C596" t="s">
        <v>2412</v>
      </c>
      <c r="D596">
        <v>1765.14</v>
      </c>
      <c r="E596" t="s">
        <v>2413</v>
      </c>
      <c r="F596">
        <v>0</v>
      </c>
      <c r="G596">
        <v>1.2699999809265139</v>
      </c>
      <c r="H596">
        <v>0</v>
      </c>
      <c r="I596">
        <v>0</v>
      </c>
      <c r="J596" t="s">
        <v>2414</v>
      </c>
      <c r="K596">
        <v>6810</v>
      </c>
      <c r="L596">
        <v>6190</v>
      </c>
      <c r="M596">
        <v>-9.1</v>
      </c>
      <c r="N596">
        <v>-2.98</v>
      </c>
      <c r="O596">
        <v>1.75</v>
      </c>
      <c r="P596">
        <v>-6.96</v>
      </c>
      <c r="Q596">
        <v>-3.42</v>
      </c>
      <c r="R596">
        <v>0.14000000000000001</v>
      </c>
      <c r="S596">
        <v>0</v>
      </c>
      <c r="T596">
        <v>1.08</v>
      </c>
      <c r="U596">
        <v>0.71</v>
      </c>
      <c r="V596">
        <v>1.79</v>
      </c>
      <c r="W596">
        <v>0.82</v>
      </c>
      <c r="X596">
        <v>1.21</v>
      </c>
      <c r="Y596">
        <v>1.32</v>
      </c>
      <c r="Z596">
        <v>2.76</v>
      </c>
      <c r="AA596">
        <v>2.46</v>
      </c>
      <c r="AB596">
        <v>3.89</v>
      </c>
      <c r="AC596">
        <v>4.17</v>
      </c>
      <c r="AD596">
        <v>0.12</v>
      </c>
      <c r="AE596">
        <v>0</v>
      </c>
      <c r="AF596">
        <v>2.2333333333333329</v>
      </c>
      <c r="AG596" t="str">
        <f>HYPERLINK("https://finance.naver.com/item/fchart.naver?code=153460", "네이블 차트보기")</f>
        <v>네이블 차트보기</v>
      </c>
    </row>
    <row r="597" spans="1:33" x14ac:dyDescent="0.3">
      <c r="A597" t="s">
        <v>2415</v>
      </c>
      <c r="B597" t="s">
        <v>34</v>
      </c>
      <c r="C597" t="s">
        <v>2416</v>
      </c>
      <c r="D597">
        <v>35935</v>
      </c>
      <c r="E597" t="s">
        <v>2417</v>
      </c>
      <c r="F597">
        <v>4.58</v>
      </c>
      <c r="G597">
        <v>0.37000000476837158</v>
      </c>
      <c r="H597">
        <v>5878</v>
      </c>
      <c r="I597">
        <v>5.190000057220459</v>
      </c>
      <c r="J597" t="s">
        <v>2418</v>
      </c>
      <c r="K597">
        <v>32800</v>
      </c>
      <c r="L597">
        <v>26950</v>
      </c>
      <c r="M597">
        <v>-17.84</v>
      </c>
      <c r="N597">
        <v>-1.28</v>
      </c>
      <c r="O597">
        <v>4.1900000000000004</v>
      </c>
      <c r="P597">
        <v>-3.42</v>
      </c>
      <c r="Q597">
        <v>2.04</v>
      </c>
      <c r="R597">
        <v>-3.04</v>
      </c>
      <c r="S597">
        <v>-4.04</v>
      </c>
      <c r="T597">
        <v>1.81</v>
      </c>
      <c r="U597">
        <v>2.11</v>
      </c>
      <c r="V597">
        <v>1.42</v>
      </c>
      <c r="W597">
        <v>1.94</v>
      </c>
      <c r="X597">
        <v>1.63</v>
      </c>
      <c r="Y597">
        <v>0.75</v>
      </c>
      <c r="Z597">
        <v>0.71</v>
      </c>
      <c r="AA597">
        <v>1.99</v>
      </c>
      <c r="AB597">
        <v>2.41</v>
      </c>
      <c r="AC597">
        <v>1.05</v>
      </c>
      <c r="AD597">
        <v>1.87</v>
      </c>
      <c r="AE597">
        <v>5.39</v>
      </c>
      <c r="AF597">
        <v>2.2366666666666668</v>
      </c>
      <c r="AG597" t="str">
        <f>HYPERLINK("https://finance.naver.com/item/fchart.naver?code=005810", "풍산홀딩스 차트보기")</f>
        <v>풍산홀딩스 차트보기</v>
      </c>
    </row>
    <row r="598" spans="1:33" x14ac:dyDescent="0.3">
      <c r="A598" t="s">
        <v>2419</v>
      </c>
      <c r="B598" t="s">
        <v>55</v>
      </c>
      <c r="C598" t="s">
        <v>2420</v>
      </c>
      <c r="D598">
        <v>65129.760000000002</v>
      </c>
      <c r="E598" t="s">
        <v>2421</v>
      </c>
      <c r="F598">
        <v>0</v>
      </c>
      <c r="G598">
        <v>0.76999998092651367</v>
      </c>
      <c r="H598">
        <v>0</v>
      </c>
      <c r="I598">
        <v>0</v>
      </c>
      <c r="J598" t="s">
        <v>2422</v>
      </c>
      <c r="K598">
        <v>8010</v>
      </c>
      <c r="L598">
        <v>5200</v>
      </c>
      <c r="M598">
        <v>-35.08</v>
      </c>
      <c r="N598">
        <v>-4.9400000000000004</v>
      </c>
      <c r="O598">
        <v>-5.1100000000000003</v>
      </c>
      <c r="P598">
        <v>-4.1900000000000004</v>
      </c>
      <c r="Q598">
        <v>-18.78</v>
      </c>
      <c r="R598">
        <v>2.48</v>
      </c>
      <c r="S598">
        <v>-3.97</v>
      </c>
      <c r="T598">
        <v>2.54</v>
      </c>
      <c r="U598">
        <v>1.94</v>
      </c>
      <c r="V598">
        <v>2.3199999999999998</v>
      </c>
      <c r="W598">
        <v>4.24</v>
      </c>
      <c r="X598">
        <v>2.2799999999999998</v>
      </c>
      <c r="Y598">
        <v>2.61</v>
      </c>
      <c r="Z598">
        <v>1.94</v>
      </c>
      <c r="AA598">
        <v>2.63</v>
      </c>
      <c r="AB598">
        <v>1.81</v>
      </c>
      <c r="AC598">
        <v>4.43</v>
      </c>
      <c r="AD598">
        <v>1.0900000000000001</v>
      </c>
      <c r="AE598">
        <v>1.52</v>
      </c>
      <c r="AF598">
        <v>2.2366666666666668</v>
      </c>
      <c r="AG598" t="str">
        <f>HYPERLINK("https://finance.naver.com/item/fchart.naver?code=119830", "아이텍 차트보기")</f>
        <v>아이텍 차트보기</v>
      </c>
    </row>
    <row r="599" spans="1:33" x14ac:dyDescent="0.3">
      <c r="A599" t="s">
        <v>2423</v>
      </c>
      <c r="B599" t="s">
        <v>55</v>
      </c>
      <c r="C599" t="s">
        <v>2424</v>
      </c>
      <c r="D599">
        <v>15486.62</v>
      </c>
      <c r="E599" t="s">
        <v>2425</v>
      </c>
      <c r="F599">
        <v>0</v>
      </c>
      <c r="G599">
        <v>0</v>
      </c>
      <c r="H599">
        <v>0</v>
      </c>
      <c r="I599">
        <v>0</v>
      </c>
      <c r="J599" t="s">
        <v>2426</v>
      </c>
      <c r="K599">
        <v>2255</v>
      </c>
      <c r="L599">
        <v>2020</v>
      </c>
      <c r="M599">
        <v>-10.42</v>
      </c>
      <c r="N599">
        <v>-0.25</v>
      </c>
      <c r="O599">
        <v>0.75</v>
      </c>
      <c r="P599">
        <v>-0.98</v>
      </c>
      <c r="Q599">
        <v>-1.21</v>
      </c>
      <c r="R599">
        <v>0.99</v>
      </c>
      <c r="S599">
        <v>-0.73</v>
      </c>
      <c r="T599">
        <v>0.25</v>
      </c>
      <c r="U599">
        <v>0.36</v>
      </c>
      <c r="V599">
        <v>0.23</v>
      </c>
      <c r="W599">
        <v>0.64</v>
      </c>
      <c r="X599">
        <v>0.39</v>
      </c>
      <c r="Y599">
        <v>0.44</v>
      </c>
      <c r="Z599">
        <v>1</v>
      </c>
      <c r="AA599">
        <v>2.08</v>
      </c>
      <c r="AB599">
        <v>4.26</v>
      </c>
      <c r="AC599">
        <v>1.89</v>
      </c>
      <c r="AD599">
        <v>2.54</v>
      </c>
      <c r="AE599">
        <v>1.66</v>
      </c>
      <c r="AF599">
        <v>2.2383333333333328</v>
      </c>
      <c r="AG599" t="str">
        <f>HYPERLINK("https://finance.naver.com/item/fchart.naver?code=477380", "미래에셋비전스팩4호 차트보기")</f>
        <v>미래에셋비전스팩4호 차트보기</v>
      </c>
    </row>
    <row r="600" spans="1:33" x14ac:dyDescent="0.3">
      <c r="A600" t="s">
        <v>2427</v>
      </c>
      <c r="B600" t="s">
        <v>55</v>
      </c>
      <c r="C600" t="s">
        <v>2428</v>
      </c>
      <c r="D600">
        <v>16346.24</v>
      </c>
      <c r="E600" t="s">
        <v>2429</v>
      </c>
      <c r="F600">
        <v>8.3699999999999992</v>
      </c>
      <c r="G600">
        <v>1.2400000095367429</v>
      </c>
      <c r="H600">
        <v>2819</v>
      </c>
      <c r="I600">
        <v>1.4800000190734861</v>
      </c>
      <c r="J600" t="s">
        <v>2430</v>
      </c>
      <c r="K600">
        <v>27500</v>
      </c>
      <c r="L600">
        <v>23600</v>
      </c>
      <c r="M600">
        <v>-14.18</v>
      </c>
      <c r="N600">
        <v>-2.0699999999999998</v>
      </c>
      <c r="O600">
        <v>-1.01</v>
      </c>
      <c r="P600">
        <v>-2.56</v>
      </c>
      <c r="Q600">
        <v>8.42</v>
      </c>
      <c r="R600">
        <v>-6.95</v>
      </c>
      <c r="S600">
        <v>0.97</v>
      </c>
      <c r="T600">
        <v>1.37</v>
      </c>
      <c r="U600">
        <v>1.28</v>
      </c>
      <c r="V600">
        <v>1.71</v>
      </c>
      <c r="W600">
        <v>2.7</v>
      </c>
      <c r="X600">
        <v>1.21</v>
      </c>
      <c r="Y600">
        <v>1.25</v>
      </c>
      <c r="Z600">
        <v>1.51</v>
      </c>
      <c r="AA600">
        <v>0.79</v>
      </c>
      <c r="AB600">
        <v>1.5</v>
      </c>
      <c r="AC600">
        <v>3.12</v>
      </c>
      <c r="AD600">
        <v>5.74</v>
      </c>
      <c r="AE600">
        <v>0.78</v>
      </c>
      <c r="AF600">
        <v>2.2400000000000002</v>
      </c>
      <c r="AG600" t="str">
        <f>HYPERLINK("https://finance.naver.com/item/fchart.naver?code=041830", "인바디 차트보기")</f>
        <v>인바디 차트보기</v>
      </c>
    </row>
    <row r="601" spans="1:33" x14ac:dyDescent="0.3">
      <c r="A601" t="s">
        <v>2431</v>
      </c>
      <c r="B601" t="s">
        <v>34</v>
      </c>
      <c r="C601" t="s">
        <v>2432</v>
      </c>
      <c r="D601">
        <v>47228.38</v>
      </c>
      <c r="E601" t="s">
        <v>2433</v>
      </c>
      <c r="F601">
        <v>11.86</v>
      </c>
      <c r="G601">
        <v>1.4800000190734861</v>
      </c>
      <c r="H601">
        <v>9684</v>
      </c>
      <c r="I601">
        <v>1.830000042915344</v>
      </c>
      <c r="J601" t="s">
        <v>2434</v>
      </c>
      <c r="K601">
        <v>185100</v>
      </c>
      <c r="L601">
        <v>114900</v>
      </c>
      <c r="M601">
        <v>-37.93</v>
      </c>
      <c r="N601">
        <v>-6.13</v>
      </c>
      <c r="O601">
        <v>-5.24</v>
      </c>
      <c r="P601">
        <v>-4.68</v>
      </c>
      <c r="Q601">
        <v>-12.34</v>
      </c>
      <c r="R601">
        <v>-11.43</v>
      </c>
      <c r="S601">
        <v>-0.16</v>
      </c>
      <c r="T601">
        <v>2.92</v>
      </c>
      <c r="U601">
        <v>2.4500000000000002</v>
      </c>
      <c r="V601">
        <v>2.87</v>
      </c>
      <c r="W601">
        <v>3.96</v>
      </c>
      <c r="X601">
        <v>2.61</v>
      </c>
      <c r="Y601">
        <v>2.46</v>
      </c>
      <c r="Z601">
        <v>2.1</v>
      </c>
      <c r="AA601">
        <v>2.14</v>
      </c>
      <c r="AB601">
        <v>1.63</v>
      </c>
      <c r="AC601">
        <v>3.12</v>
      </c>
      <c r="AD601">
        <v>4.38</v>
      </c>
      <c r="AE601">
        <v>7.0000000000000007E-2</v>
      </c>
      <c r="AF601">
        <v>2.2400000000000002</v>
      </c>
      <c r="AG601" t="str">
        <f>HYPERLINK("https://finance.naver.com/item/fchart.naver?code=014680", "한솔케미칼 차트보기")</f>
        <v>한솔케미칼 차트보기</v>
      </c>
    </row>
    <row r="602" spans="1:33" x14ac:dyDescent="0.3">
      <c r="A602" t="s">
        <v>2435</v>
      </c>
      <c r="B602" t="s">
        <v>55</v>
      </c>
      <c r="C602" t="s">
        <v>2436</v>
      </c>
      <c r="D602">
        <v>11554.81</v>
      </c>
      <c r="E602" t="s">
        <v>2437</v>
      </c>
      <c r="F602">
        <v>1.42</v>
      </c>
      <c r="G602">
        <v>0.25</v>
      </c>
      <c r="H602">
        <v>3989</v>
      </c>
      <c r="I602">
        <v>0</v>
      </c>
      <c r="J602" t="s">
        <v>2438</v>
      </c>
      <c r="K602">
        <v>7160</v>
      </c>
      <c r="L602">
        <v>5660</v>
      </c>
      <c r="M602">
        <v>-20.95</v>
      </c>
      <c r="N602">
        <v>-1.22</v>
      </c>
      <c r="O602">
        <v>-5.42</v>
      </c>
      <c r="P602">
        <v>-5.0199999999999996</v>
      </c>
      <c r="Q602">
        <v>-1.36</v>
      </c>
      <c r="R602">
        <v>-4.53</v>
      </c>
      <c r="S602">
        <v>-1.73</v>
      </c>
      <c r="T602">
        <v>1.52</v>
      </c>
      <c r="U602">
        <v>1.1200000000000001</v>
      </c>
      <c r="V602">
        <v>2.2400000000000002</v>
      </c>
      <c r="W602">
        <v>3.51</v>
      </c>
      <c r="X602">
        <v>1.18</v>
      </c>
      <c r="Y602">
        <v>1.29</v>
      </c>
      <c r="Z602">
        <v>0.8</v>
      </c>
      <c r="AA602">
        <v>4.84</v>
      </c>
      <c r="AB602">
        <v>2.2400000000000002</v>
      </c>
      <c r="AC602">
        <v>0.39</v>
      </c>
      <c r="AD602">
        <v>3.84</v>
      </c>
      <c r="AE602">
        <v>1.34</v>
      </c>
      <c r="AF602">
        <v>2.2416666666666671</v>
      </c>
      <c r="AG602" t="str">
        <f>HYPERLINK("https://finance.naver.com/item/fchart.naver?code=094840", "슈프리마에이치큐 차트보기")</f>
        <v>슈프리마에이치큐 차트보기</v>
      </c>
    </row>
    <row r="603" spans="1:33" x14ac:dyDescent="0.3">
      <c r="A603" t="s">
        <v>2439</v>
      </c>
      <c r="B603" t="s">
        <v>34</v>
      </c>
      <c r="C603" t="s">
        <v>2440</v>
      </c>
      <c r="D603">
        <v>1334.43</v>
      </c>
      <c r="E603" t="s">
        <v>2441</v>
      </c>
      <c r="F603">
        <v>0</v>
      </c>
      <c r="G603">
        <v>0</v>
      </c>
      <c r="H603">
        <v>0</v>
      </c>
      <c r="I603">
        <v>6.1599998474121094</v>
      </c>
      <c r="J603" t="s">
        <v>2442</v>
      </c>
      <c r="K603">
        <v>15980</v>
      </c>
      <c r="L603">
        <v>16230</v>
      </c>
      <c r="M603">
        <v>1.56</v>
      </c>
      <c r="N603">
        <v>-0.31</v>
      </c>
      <c r="O603">
        <v>0.37</v>
      </c>
      <c r="P603">
        <v>-0.86</v>
      </c>
      <c r="Q603">
        <v>0.37</v>
      </c>
      <c r="R603">
        <v>-2.36</v>
      </c>
      <c r="S603">
        <v>2.61</v>
      </c>
      <c r="T603">
        <v>0.39</v>
      </c>
      <c r="U603">
        <v>0.49</v>
      </c>
      <c r="V603">
        <v>0.33</v>
      </c>
      <c r="W603">
        <v>1.07</v>
      </c>
      <c r="X603">
        <v>0.41</v>
      </c>
      <c r="Y603">
        <v>0.82</v>
      </c>
      <c r="Z603">
        <v>0.79</v>
      </c>
      <c r="AA603">
        <v>0.76</v>
      </c>
      <c r="AB603">
        <v>2.61</v>
      </c>
      <c r="AC603">
        <v>0.35</v>
      </c>
      <c r="AD603">
        <v>5.76</v>
      </c>
      <c r="AE603">
        <v>3.18</v>
      </c>
      <c r="AF603">
        <v>2.2416666666666671</v>
      </c>
      <c r="AG603" t="str">
        <f>HYPERLINK("https://finance.naver.com/item/fchart.naver?code=000087", "하이트진로2우B 차트보기")</f>
        <v>하이트진로2우B 차트보기</v>
      </c>
    </row>
    <row r="604" spans="1:33" x14ac:dyDescent="0.3">
      <c r="A604" t="s">
        <v>2443</v>
      </c>
      <c r="B604" t="s">
        <v>55</v>
      </c>
      <c r="C604" t="s">
        <v>2444</v>
      </c>
      <c r="D604">
        <v>35353.760000000002</v>
      </c>
      <c r="E604" t="s">
        <v>2445</v>
      </c>
      <c r="F604">
        <v>6.95</v>
      </c>
      <c r="G604">
        <v>0.5</v>
      </c>
      <c r="H604">
        <v>731</v>
      </c>
      <c r="I604">
        <v>5.5100002288818359</v>
      </c>
      <c r="J604" t="s">
        <v>2446</v>
      </c>
      <c r="K604">
        <v>5760</v>
      </c>
      <c r="L604">
        <v>5080</v>
      </c>
      <c r="M604">
        <v>-11.81</v>
      </c>
      <c r="N604">
        <v>0.4</v>
      </c>
      <c r="O604">
        <v>-3.77</v>
      </c>
      <c r="P604">
        <v>2.7</v>
      </c>
      <c r="Q604">
        <v>-11.86</v>
      </c>
      <c r="R604">
        <v>-0.87</v>
      </c>
      <c r="S604">
        <v>1.24</v>
      </c>
      <c r="T604">
        <v>0.7</v>
      </c>
      <c r="U604">
        <v>0.86</v>
      </c>
      <c r="V604">
        <v>1.21</v>
      </c>
      <c r="W604">
        <v>2.63</v>
      </c>
      <c r="X604">
        <v>1.06</v>
      </c>
      <c r="Y604">
        <v>1.32</v>
      </c>
      <c r="Z604">
        <v>0.56999999999999995</v>
      </c>
      <c r="AA604">
        <v>4.38</v>
      </c>
      <c r="AB604">
        <v>2.23</v>
      </c>
      <c r="AC604">
        <v>4.51</v>
      </c>
      <c r="AD604">
        <v>0.82</v>
      </c>
      <c r="AE604">
        <v>0.94</v>
      </c>
      <c r="AF604">
        <v>2.2416666666666671</v>
      </c>
      <c r="AG604" t="str">
        <f>HYPERLINK("https://finance.naver.com/item/fchart.naver?code=019210", "와이지-원 차트보기")</f>
        <v>와이지-원 차트보기</v>
      </c>
    </row>
    <row r="605" spans="1:33" x14ac:dyDescent="0.3">
      <c r="A605" t="s">
        <v>2447</v>
      </c>
      <c r="B605" t="s">
        <v>55</v>
      </c>
      <c r="C605" t="s">
        <v>2448</v>
      </c>
      <c r="D605">
        <v>73173.100000000006</v>
      </c>
      <c r="E605" t="s">
        <v>2449</v>
      </c>
      <c r="F605">
        <v>0</v>
      </c>
      <c r="G605">
        <v>0.41999998688697809</v>
      </c>
      <c r="H605">
        <v>0</v>
      </c>
      <c r="I605">
        <v>0</v>
      </c>
      <c r="J605" t="s">
        <v>2450</v>
      </c>
      <c r="K605">
        <v>875</v>
      </c>
      <c r="L605">
        <v>766</v>
      </c>
      <c r="M605">
        <v>-12.46</v>
      </c>
      <c r="N605">
        <v>2.13</v>
      </c>
      <c r="O605">
        <v>-1.6</v>
      </c>
      <c r="P605">
        <v>-5.69</v>
      </c>
      <c r="Q605">
        <v>-1.84</v>
      </c>
      <c r="R605">
        <v>-2.2999999999999998</v>
      </c>
      <c r="S605">
        <v>-2.6</v>
      </c>
      <c r="T605">
        <v>1.17</v>
      </c>
      <c r="U605">
        <v>1.45</v>
      </c>
      <c r="V605">
        <v>1.29</v>
      </c>
      <c r="W605">
        <v>4.7699999999999996</v>
      </c>
      <c r="X605">
        <v>0.82</v>
      </c>
      <c r="Y605">
        <v>0.88</v>
      </c>
      <c r="Z605">
        <v>1.82</v>
      </c>
      <c r="AA605">
        <v>1.1000000000000001</v>
      </c>
      <c r="AB605">
        <v>4.41</v>
      </c>
      <c r="AC605">
        <v>0.39</v>
      </c>
      <c r="AD605">
        <v>2.8</v>
      </c>
      <c r="AE605">
        <v>2.95</v>
      </c>
      <c r="AF605">
        <v>2.2450000000000001</v>
      </c>
      <c r="AG605" t="str">
        <f>HYPERLINK("https://finance.naver.com/item/fchart.naver?code=054940", "엑사이엔씨 차트보기")</f>
        <v>엑사이엔씨 차트보기</v>
      </c>
    </row>
    <row r="606" spans="1:33" x14ac:dyDescent="0.3">
      <c r="A606" t="s">
        <v>2451</v>
      </c>
      <c r="B606" t="s">
        <v>34</v>
      </c>
      <c r="C606" t="s">
        <v>2452</v>
      </c>
      <c r="D606">
        <v>5646.67</v>
      </c>
      <c r="E606" t="s">
        <v>2453</v>
      </c>
      <c r="F606">
        <v>4.2699999999999996</v>
      </c>
      <c r="G606">
        <v>0.239999994635582</v>
      </c>
      <c r="H606">
        <v>3130</v>
      </c>
      <c r="I606">
        <v>2.9900000095367432</v>
      </c>
      <c r="J606" t="s">
        <v>2454</v>
      </c>
      <c r="K606">
        <v>15320</v>
      </c>
      <c r="L606">
        <v>13380</v>
      </c>
      <c r="M606">
        <v>-12.66</v>
      </c>
      <c r="N606">
        <v>-0.89</v>
      </c>
      <c r="O606">
        <v>-3.35</v>
      </c>
      <c r="P606">
        <v>2.2599999999999998</v>
      </c>
      <c r="Q606">
        <v>-5.83</v>
      </c>
      <c r="R606">
        <v>-4.47</v>
      </c>
      <c r="S606">
        <v>-3.73</v>
      </c>
      <c r="T606">
        <v>0.64</v>
      </c>
      <c r="U606">
        <v>0.94</v>
      </c>
      <c r="V606">
        <v>1.39</v>
      </c>
      <c r="W606">
        <v>2.2999999999999998</v>
      </c>
      <c r="X606">
        <v>3.09</v>
      </c>
      <c r="Y606">
        <v>1.28</v>
      </c>
      <c r="Z606">
        <v>1.39</v>
      </c>
      <c r="AA606">
        <v>3.56</v>
      </c>
      <c r="AB606">
        <v>1.63</v>
      </c>
      <c r="AC606">
        <v>2.5299999999999998</v>
      </c>
      <c r="AD606">
        <v>1.45</v>
      </c>
      <c r="AE606">
        <v>2.91</v>
      </c>
      <c r="AF606">
        <v>2.2450000000000001</v>
      </c>
      <c r="AG606" t="str">
        <f>HYPERLINK("https://finance.naver.com/item/fchart.naver?code=007700", "F&amp;F홀딩스 차트보기")</f>
        <v>F&amp;F홀딩스 차트보기</v>
      </c>
    </row>
    <row r="607" spans="1:33" x14ac:dyDescent="0.3">
      <c r="A607" t="s">
        <v>2455</v>
      </c>
      <c r="B607" t="s">
        <v>55</v>
      </c>
      <c r="C607" t="s">
        <v>2456</v>
      </c>
      <c r="D607">
        <v>979106.29</v>
      </c>
      <c r="E607" t="s">
        <v>2457</v>
      </c>
      <c r="F607">
        <v>16.170000000000002</v>
      </c>
      <c r="G607">
        <v>1.470000028610229</v>
      </c>
      <c r="H607">
        <v>158</v>
      </c>
      <c r="I607">
        <v>0.74000000953674316</v>
      </c>
      <c r="J607" t="s">
        <v>2458</v>
      </c>
      <c r="K607">
        <v>3660</v>
      </c>
      <c r="L607">
        <v>2555</v>
      </c>
      <c r="M607">
        <v>-30.19</v>
      </c>
      <c r="N607">
        <v>2.82</v>
      </c>
      <c r="O607">
        <v>-4.03</v>
      </c>
      <c r="P607">
        <v>0.19</v>
      </c>
      <c r="Q607">
        <v>-12.13</v>
      </c>
      <c r="R607">
        <v>-7.52</v>
      </c>
      <c r="S607">
        <v>-10.68</v>
      </c>
      <c r="T607">
        <v>1.56</v>
      </c>
      <c r="U607">
        <v>2.74</v>
      </c>
      <c r="V607">
        <v>2.78</v>
      </c>
      <c r="W607">
        <v>5.18</v>
      </c>
      <c r="X607">
        <v>1.68</v>
      </c>
      <c r="Y607">
        <v>3.24</v>
      </c>
      <c r="Z607">
        <v>1.81</v>
      </c>
      <c r="AA607">
        <v>1.47</v>
      </c>
      <c r="AB607">
        <v>7.0000000000000007E-2</v>
      </c>
      <c r="AC607">
        <v>2.34</v>
      </c>
      <c r="AD607">
        <v>4.4800000000000004</v>
      </c>
      <c r="AE607">
        <v>3.3</v>
      </c>
      <c r="AF607">
        <v>2.2450000000000001</v>
      </c>
      <c r="AG607" t="str">
        <f>HYPERLINK("https://finance.naver.com/item/fchart.naver?code=162300", "신스틸 차트보기")</f>
        <v>신스틸 차트보기</v>
      </c>
    </row>
    <row r="608" spans="1:33" x14ac:dyDescent="0.3">
      <c r="A608" t="s">
        <v>2459</v>
      </c>
      <c r="B608" t="s">
        <v>55</v>
      </c>
      <c r="C608" t="s">
        <v>2460</v>
      </c>
      <c r="D608">
        <v>84916.95</v>
      </c>
      <c r="E608" t="s">
        <v>2461</v>
      </c>
      <c r="F608">
        <v>24.84</v>
      </c>
      <c r="G608">
        <v>2.0099999904632568</v>
      </c>
      <c r="H608">
        <v>932</v>
      </c>
      <c r="I608">
        <v>0.64999997615814209</v>
      </c>
      <c r="J608" t="s">
        <v>2462</v>
      </c>
      <c r="K608">
        <v>20950</v>
      </c>
      <c r="L608">
        <v>23150</v>
      </c>
      <c r="M608">
        <v>10.5</v>
      </c>
      <c r="N608">
        <v>2.21</v>
      </c>
      <c r="O608">
        <v>15.61</v>
      </c>
      <c r="P608">
        <v>-0.56999999999999995</v>
      </c>
      <c r="Q608">
        <v>-5.64</v>
      </c>
      <c r="R608">
        <v>-7.4</v>
      </c>
      <c r="S608">
        <v>-10.34</v>
      </c>
      <c r="T608">
        <v>2.23</v>
      </c>
      <c r="U608">
        <v>3.84</v>
      </c>
      <c r="V608">
        <v>2.44</v>
      </c>
      <c r="W608">
        <v>2.44</v>
      </c>
      <c r="X608">
        <v>2.15</v>
      </c>
      <c r="Y608">
        <v>4.25</v>
      </c>
      <c r="Z608">
        <v>0.99</v>
      </c>
      <c r="AA608">
        <v>4.07</v>
      </c>
      <c r="AB608">
        <v>0.23</v>
      </c>
      <c r="AC608">
        <v>2.31</v>
      </c>
      <c r="AD608">
        <v>3.44</v>
      </c>
      <c r="AE608">
        <v>2.4300000000000002</v>
      </c>
      <c r="AF608">
        <v>2.2450000000000001</v>
      </c>
      <c r="AG608" t="str">
        <f>HYPERLINK("https://finance.naver.com/item/fchart.naver?code=025950", "동신건설 차트보기")</f>
        <v>동신건설 차트보기</v>
      </c>
    </row>
    <row r="609" spans="1:33" x14ac:dyDescent="0.3">
      <c r="A609" t="s">
        <v>2463</v>
      </c>
      <c r="B609" t="s">
        <v>55</v>
      </c>
      <c r="C609" t="s">
        <v>2464</v>
      </c>
      <c r="D609">
        <v>815488.29</v>
      </c>
      <c r="E609" t="s">
        <v>2465</v>
      </c>
      <c r="F609">
        <v>43.04</v>
      </c>
      <c r="G609">
        <v>1.4900000095367429</v>
      </c>
      <c r="H609">
        <v>382</v>
      </c>
      <c r="I609">
        <v>0.30000001192092901</v>
      </c>
      <c r="J609" t="s">
        <v>2466</v>
      </c>
      <c r="K609">
        <v>10680</v>
      </c>
      <c r="L609">
        <v>16440</v>
      </c>
      <c r="M609">
        <v>53.93</v>
      </c>
      <c r="N609">
        <v>-0.54</v>
      </c>
      <c r="O609">
        <v>-16.53</v>
      </c>
      <c r="P609">
        <v>32.4</v>
      </c>
      <c r="Q609">
        <v>-2.98</v>
      </c>
      <c r="R609">
        <v>27.62</v>
      </c>
      <c r="S609">
        <v>0.65</v>
      </c>
      <c r="T609">
        <v>2.62</v>
      </c>
      <c r="U609">
        <v>3.21</v>
      </c>
      <c r="V609">
        <v>8.9499999999999993</v>
      </c>
      <c r="W609">
        <v>8.3000000000000007</v>
      </c>
      <c r="X609">
        <v>7.05</v>
      </c>
      <c r="Y609">
        <v>3.11</v>
      </c>
      <c r="Z609">
        <v>0.21</v>
      </c>
      <c r="AA609">
        <v>5.15</v>
      </c>
      <c r="AB609">
        <v>3.62</v>
      </c>
      <c r="AC609">
        <v>0.36</v>
      </c>
      <c r="AD609">
        <v>3.92</v>
      </c>
      <c r="AE609">
        <v>0.21</v>
      </c>
      <c r="AF609">
        <v>2.2450000000000001</v>
      </c>
      <c r="AG609" t="str">
        <f>HYPERLINK("https://finance.naver.com/item/fchart.naver?code=078140", "대봉엘에스 차트보기")</f>
        <v>대봉엘에스 차트보기</v>
      </c>
    </row>
    <row r="610" spans="1:33" x14ac:dyDescent="0.3">
      <c r="A610" t="s">
        <v>2467</v>
      </c>
      <c r="B610" t="s">
        <v>34</v>
      </c>
      <c r="C610" t="s">
        <v>2468</v>
      </c>
      <c r="D610">
        <v>63027.81</v>
      </c>
      <c r="E610" t="s">
        <v>2469</v>
      </c>
      <c r="F610">
        <v>12.26</v>
      </c>
      <c r="G610">
        <v>0.5</v>
      </c>
      <c r="H610">
        <v>755</v>
      </c>
      <c r="I610">
        <v>3.779999971389771</v>
      </c>
      <c r="J610" t="s">
        <v>2470</v>
      </c>
      <c r="K610">
        <v>8300</v>
      </c>
      <c r="L610">
        <v>9260</v>
      </c>
      <c r="M610">
        <v>11.57</v>
      </c>
      <c r="N610">
        <v>-2.5299999999999998</v>
      </c>
      <c r="O610">
        <v>4</v>
      </c>
      <c r="P610">
        <v>4.29</v>
      </c>
      <c r="Q610">
        <v>6.89</v>
      </c>
      <c r="R610">
        <v>-1.96</v>
      </c>
      <c r="S610">
        <v>3.29</v>
      </c>
      <c r="T610">
        <v>1.89</v>
      </c>
      <c r="U610">
        <v>1.8</v>
      </c>
      <c r="V610">
        <v>1.19</v>
      </c>
      <c r="W610">
        <v>2.5</v>
      </c>
      <c r="X610">
        <v>0.98</v>
      </c>
      <c r="Y610">
        <v>2.12</v>
      </c>
      <c r="Z610">
        <v>1.34</v>
      </c>
      <c r="AA610">
        <v>2.2200000000000002</v>
      </c>
      <c r="AB610">
        <v>3.61</v>
      </c>
      <c r="AC610">
        <v>2.76</v>
      </c>
      <c r="AD610">
        <v>2</v>
      </c>
      <c r="AE610">
        <v>1.55</v>
      </c>
      <c r="AF610">
        <v>2.246666666666667</v>
      </c>
      <c r="AG610" t="str">
        <f>HYPERLINK("https://finance.naver.com/item/fchart.naver?code=044450", "KSS해운 차트보기")</f>
        <v>KSS해운 차트보기</v>
      </c>
    </row>
    <row r="611" spans="1:33" x14ac:dyDescent="0.3">
      <c r="A611" t="s">
        <v>2471</v>
      </c>
      <c r="B611" t="s">
        <v>55</v>
      </c>
      <c r="C611" t="s">
        <v>2472</v>
      </c>
      <c r="D611">
        <v>11752.57</v>
      </c>
      <c r="E611" t="s">
        <v>2473</v>
      </c>
      <c r="F611">
        <v>0</v>
      </c>
      <c r="G611">
        <v>2.869999885559082</v>
      </c>
      <c r="H611">
        <v>0</v>
      </c>
      <c r="I611">
        <v>0</v>
      </c>
      <c r="J611" t="s">
        <v>2474</v>
      </c>
      <c r="K611">
        <v>20950</v>
      </c>
      <c r="L611">
        <v>16650</v>
      </c>
      <c r="M611">
        <v>-20.53</v>
      </c>
      <c r="N611">
        <v>-2.06</v>
      </c>
      <c r="O611">
        <v>13.27</v>
      </c>
      <c r="P611">
        <v>-4.72</v>
      </c>
      <c r="Q611">
        <v>-14.8</v>
      </c>
      <c r="R611">
        <v>-0.26</v>
      </c>
      <c r="S611">
        <v>10.17</v>
      </c>
      <c r="T611">
        <v>2.5499999999999998</v>
      </c>
      <c r="U611">
        <v>3.31</v>
      </c>
      <c r="V611">
        <v>1.74</v>
      </c>
      <c r="W611">
        <v>5.56</v>
      </c>
      <c r="X611">
        <v>1.85</v>
      </c>
      <c r="Y611">
        <v>3.23</v>
      </c>
      <c r="Z611">
        <v>0.81</v>
      </c>
      <c r="AA611">
        <v>4.01</v>
      </c>
      <c r="AB611">
        <v>2.71</v>
      </c>
      <c r="AC611">
        <v>2.66</v>
      </c>
      <c r="AD611">
        <v>0.14000000000000001</v>
      </c>
      <c r="AE611">
        <v>3.15</v>
      </c>
      <c r="AF611">
        <v>2.246666666666667</v>
      </c>
      <c r="AG611" t="str">
        <f>HYPERLINK("https://finance.naver.com/item/fchart.naver?code=191420", "테고사이언스 차트보기")</f>
        <v>테고사이언스 차트보기</v>
      </c>
    </row>
    <row r="612" spans="1:33" x14ac:dyDescent="0.3">
      <c r="A612" t="s">
        <v>2475</v>
      </c>
      <c r="B612" t="s">
        <v>34</v>
      </c>
      <c r="C612" t="s">
        <v>2476</v>
      </c>
      <c r="D612">
        <v>27844.52</v>
      </c>
      <c r="E612" t="s">
        <v>2477</v>
      </c>
      <c r="F612">
        <v>10.87</v>
      </c>
      <c r="G612">
        <v>0.34999999403953552</v>
      </c>
      <c r="H612">
        <v>585</v>
      </c>
      <c r="I612">
        <v>1.570000052452087</v>
      </c>
      <c r="J612" t="s">
        <v>2478</v>
      </c>
      <c r="K612">
        <v>7740</v>
      </c>
      <c r="L612">
        <v>6360</v>
      </c>
      <c r="M612">
        <v>-17.829999999999998</v>
      </c>
      <c r="N612">
        <v>-3.34</v>
      </c>
      <c r="O612">
        <v>-5.3</v>
      </c>
      <c r="P612">
        <v>-0.55000000000000004</v>
      </c>
      <c r="Q612">
        <v>4.62</v>
      </c>
      <c r="R612">
        <v>-3.65</v>
      </c>
      <c r="S612">
        <v>-5.62</v>
      </c>
      <c r="T612">
        <v>1.1499999999999999</v>
      </c>
      <c r="U612">
        <v>1.46</v>
      </c>
      <c r="V612">
        <v>1.19</v>
      </c>
      <c r="W612">
        <v>2.96</v>
      </c>
      <c r="X612">
        <v>1.44</v>
      </c>
      <c r="Y612">
        <v>2.3199999999999998</v>
      </c>
      <c r="Z612">
        <v>2.9</v>
      </c>
      <c r="AA612">
        <v>3.63</v>
      </c>
      <c r="AB612">
        <v>0.46</v>
      </c>
      <c r="AC612">
        <v>1.56</v>
      </c>
      <c r="AD612">
        <v>2.5299999999999998</v>
      </c>
      <c r="AE612">
        <v>2.42</v>
      </c>
      <c r="AF612">
        <v>2.25</v>
      </c>
      <c r="AG612" t="str">
        <f>HYPERLINK("https://finance.naver.com/item/fchart.naver?code=136490", "선진 차트보기")</f>
        <v>선진 차트보기</v>
      </c>
    </row>
    <row r="613" spans="1:33" x14ac:dyDescent="0.3">
      <c r="A613" t="s">
        <v>2479</v>
      </c>
      <c r="B613" t="s">
        <v>34</v>
      </c>
      <c r="C613" t="s">
        <v>2480</v>
      </c>
      <c r="D613">
        <v>16359.76</v>
      </c>
      <c r="E613" t="s">
        <v>2481</v>
      </c>
      <c r="F613">
        <v>60.05</v>
      </c>
      <c r="G613">
        <v>0.55000001192092896</v>
      </c>
      <c r="H613">
        <v>193</v>
      </c>
      <c r="I613">
        <v>1.2899999618530269</v>
      </c>
      <c r="J613" t="s">
        <v>2482</v>
      </c>
      <c r="K613">
        <v>15700</v>
      </c>
      <c r="L613">
        <v>11590</v>
      </c>
      <c r="M613">
        <v>-26.18</v>
      </c>
      <c r="N613">
        <v>-1.61</v>
      </c>
      <c r="O613">
        <v>0.84</v>
      </c>
      <c r="P613">
        <v>0</v>
      </c>
      <c r="Q613">
        <v>-9.66</v>
      </c>
      <c r="R613">
        <v>-10.85</v>
      </c>
      <c r="S613">
        <v>-11.47</v>
      </c>
      <c r="T613">
        <v>1.6</v>
      </c>
      <c r="U613">
        <v>1.8</v>
      </c>
      <c r="V613">
        <v>1.86</v>
      </c>
      <c r="W613">
        <v>3.39</v>
      </c>
      <c r="X613">
        <v>2.09</v>
      </c>
      <c r="Y613">
        <v>2.88</v>
      </c>
      <c r="Z613">
        <v>1.01</v>
      </c>
      <c r="AA613">
        <v>0.47</v>
      </c>
      <c r="AB613">
        <v>0</v>
      </c>
      <c r="AC613">
        <v>2.85</v>
      </c>
      <c r="AD613">
        <v>5.19</v>
      </c>
      <c r="AE613">
        <v>3.98</v>
      </c>
      <c r="AF613">
        <v>2.25</v>
      </c>
      <c r="AG613" t="str">
        <f>HYPERLINK("https://finance.naver.com/item/fchart.naver?code=226320", "잇츠한불 차트보기")</f>
        <v>잇츠한불 차트보기</v>
      </c>
    </row>
    <row r="614" spans="1:33" x14ac:dyDescent="0.3">
      <c r="A614" t="s">
        <v>2483</v>
      </c>
      <c r="B614" t="s">
        <v>34</v>
      </c>
      <c r="C614" t="s">
        <v>2484</v>
      </c>
      <c r="D614">
        <v>325572.86</v>
      </c>
      <c r="E614" t="s">
        <v>2485</v>
      </c>
      <c r="F614">
        <v>3.91</v>
      </c>
      <c r="G614">
        <v>0.38999998569488531</v>
      </c>
      <c r="H614">
        <v>7610</v>
      </c>
      <c r="I614">
        <v>6.929999828338623</v>
      </c>
      <c r="J614" t="s">
        <v>2486</v>
      </c>
      <c r="K614">
        <v>34600</v>
      </c>
      <c r="L614">
        <v>29750</v>
      </c>
      <c r="M614">
        <v>-14.02</v>
      </c>
      <c r="N614">
        <v>-1.1599999999999999</v>
      </c>
      <c r="O614">
        <v>-1.94</v>
      </c>
      <c r="P614">
        <v>-6.25</v>
      </c>
      <c r="Q614">
        <v>-3.47</v>
      </c>
      <c r="R614">
        <v>6.5</v>
      </c>
      <c r="S614">
        <v>4.07</v>
      </c>
      <c r="T614">
        <v>1.3</v>
      </c>
      <c r="U614">
        <v>1.75</v>
      </c>
      <c r="V614">
        <v>1.66</v>
      </c>
      <c r="W614">
        <v>2.69</v>
      </c>
      <c r="X614">
        <v>1.82</v>
      </c>
      <c r="Y614">
        <v>1.42</v>
      </c>
      <c r="Z614">
        <v>0.89</v>
      </c>
      <c r="AA614">
        <v>1.1100000000000001</v>
      </c>
      <c r="AB614">
        <v>3.77</v>
      </c>
      <c r="AC614">
        <v>1.29</v>
      </c>
      <c r="AD614">
        <v>3.57</v>
      </c>
      <c r="AE614">
        <v>2.87</v>
      </c>
      <c r="AF614">
        <v>2.25</v>
      </c>
      <c r="AG614" t="str">
        <f>HYPERLINK("https://finance.naver.com/item/fchart.naver?code=001450", "현대해상 차트보기")</f>
        <v>현대해상 차트보기</v>
      </c>
    </row>
    <row r="615" spans="1:33" x14ac:dyDescent="0.3">
      <c r="A615" t="s">
        <v>2487</v>
      </c>
      <c r="B615" t="s">
        <v>34</v>
      </c>
      <c r="C615" t="s">
        <v>2488</v>
      </c>
      <c r="D615">
        <v>321861.86</v>
      </c>
      <c r="E615" t="s">
        <v>2489</v>
      </c>
      <c r="F615">
        <v>555.26</v>
      </c>
      <c r="G615">
        <v>6.7899999618530273</v>
      </c>
      <c r="H615">
        <v>371</v>
      </c>
      <c r="I615">
        <v>0.119999997317791</v>
      </c>
      <c r="J615" t="s">
        <v>2490</v>
      </c>
      <c r="K615">
        <v>280500</v>
      </c>
      <c r="L615">
        <v>206000</v>
      </c>
      <c r="M615">
        <v>-26.56</v>
      </c>
      <c r="N615">
        <v>-9.65</v>
      </c>
      <c r="O615">
        <v>-9.84</v>
      </c>
      <c r="P615">
        <v>1.42</v>
      </c>
      <c r="Q615">
        <v>-3.16</v>
      </c>
      <c r="R615">
        <v>-21.38</v>
      </c>
      <c r="S615">
        <v>1.37</v>
      </c>
      <c r="T615">
        <v>4.34</v>
      </c>
      <c r="U615">
        <v>3.43</v>
      </c>
      <c r="V615">
        <v>5.24</v>
      </c>
      <c r="W615">
        <v>4.0199999999999996</v>
      </c>
      <c r="X615">
        <v>3.12</v>
      </c>
      <c r="Y615">
        <v>2.72</v>
      </c>
      <c r="Z615">
        <v>2.2200000000000002</v>
      </c>
      <c r="AA615">
        <v>2.87</v>
      </c>
      <c r="AB615">
        <v>0.27</v>
      </c>
      <c r="AC615">
        <v>0.79</v>
      </c>
      <c r="AD615">
        <v>6.85</v>
      </c>
      <c r="AE615">
        <v>0.5</v>
      </c>
      <c r="AF615">
        <v>2.25</v>
      </c>
      <c r="AG615" t="str">
        <f>HYPERLINK("https://finance.naver.com/item/fchart.naver?code=003670", "포스코퓨처엠 차트보기")</f>
        <v>포스코퓨처엠 차트보기</v>
      </c>
    </row>
    <row r="616" spans="1:33" x14ac:dyDescent="0.3">
      <c r="A616" t="s">
        <v>2491</v>
      </c>
      <c r="B616" t="s">
        <v>55</v>
      </c>
      <c r="C616" t="s">
        <v>2492</v>
      </c>
      <c r="D616">
        <v>4937.05</v>
      </c>
      <c r="E616" t="s">
        <v>2493</v>
      </c>
      <c r="F616">
        <v>2.99</v>
      </c>
      <c r="G616">
        <v>0.25</v>
      </c>
      <c r="H616">
        <v>5163</v>
      </c>
      <c r="I616">
        <v>2.589999914169312</v>
      </c>
      <c r="J616" t="s">
        <v>2494</v>
      </c>
      <c r="K616">
        <v>17660</v>
      </c>
      <c r="L616">
        <v>15460</v>
      </c>
      <c r="M616">
        <v>-12.46</v>
      </c>
      <c r="N616">
        <v>-0.96</v>
      </c>
      <c r="O616">
        <v>-1.44</v>
      </c>
      <c r="P616">
        <v>-1.41</v>
      </c>
      <c r="Q616">
        <v>-3.49</v>
      </c>
      <c r="R616">
        <v>-2.2000000000000002</v>
      </c>
      <c r="S616">
        <v>-0.28999999999999998</v>
      </c>
      <c r="T616">
        <v>0.61</v>
      </c>
      <c r="U616">
        <v>0.53</v>
      </c>
      <c r="V616">
        <v>0.62</v>
      </c>
      <c r="W616">
        <v>1.1499999999999999</v>
      </c>
      <c r="X616">
        <v>0.62</v>
      </c>
      <c r="Y616">
        <v>0.76</v>
      </c>
      <c r="Z616">
        <v>1.57</v>
      </c>
      <c r="AA616">
        <v>2.72</v>
      </c>
      <c r="AB616">
        <v>2.27</v>
      </c>
      <c r="AC616">
        <v>3.03</v>
      </c>
      <c r="AD616">
        <v>3.55</v>
      </c>
      <c r="AE616">
        <v>0.38</v>
      </c>
      <c r="AF616">
        <v>2.253333333333333</v>
      </c>
      <c r="AG616" t="str">
        <f>HYPERLINK("https://finance.naver.com/item/fchart.naver?code=003100", "선광 차트보기")</f>
        <v>선광 차트보기</v>
      </c>
    </row>
    <row r="617" spans="1:33" x14ac:dyDescent="0.3">
      <c r="A617" t="s">
        <v>2495</v>
      </c>
      <c r="B617" t="s">
        <v>55</v>
      </c>
      <c r="C617" t="s">
        <v>2496</v>
      </c>
      <c r="D617">
        <v>46139.33</v>
      </c>
      <c r="E617" t="s">
        <v>2497</v>
      </c>
      <c r="F617">
        <v>0</v>
      </c>
      <c r="G617">
        <v>0.52999997138977051</v>
      </c>
      <c r="H617">
        <v>0</v>
      </c>
      <c r="I617">
        <v>0</v>
      </c>
      <c r="J617" t="s">
        <v>2498</v>
      </c>
      <c r="K617">
        <v>3615</v>
      </c>
      <c r="L617">
        <v>2905</v>
      </c>
      <c r="M617">
        <v>-19.64</v>
      </c>
      <c r="N617">
        <v>1.22</v>
      </c>
      <c r="O617">
        <v>-2.88</v>
      </c>
      <c r="P617">
        <v>-0.83</v>
      </c>
      <c r="Q617">
        <v>-7.44</v>
      </c>
      <c r="R617">
        <v>-5.18</v>
      </c>
      <c r="S617">
        <v>-3.85</v>
      </c>
      <c r="T617">
        <v>0.8</v>
      </c>
      <c r="U617">
        <v>0.9</v>
      </c>
      <c r="V617">
        <v>1.53</v>
      </c>
      <c r="W617">
        <v>2.36</v>
      </c>
      <c r="X617">
        <v>1.63</v>
      </c>
      <c r="Y617">
        <v>1.99</v>
      </c>
      <c r="Z617">
        <v>1.52</v>
      </c>
      <c r="AA617">
        <v>3.2</v>
      </c>
      <c r="AB617">
        <v>0.54</v>
      </c>
      <c r="AC617">
        <v>3.15</v>
      </c>
      <c r="AD617">
        <v>3.18</v>
      </c>
      <c r="AE617">
        <v>1.93</v>
      </c>
      <c r="AF617">
        <v>2.253333333333333</v>
      </c>
      <c r="AG617" t="str">
        <f>HYPERLINK("https://finance.naver.com/item/fchart.naver?code=025550", "한국선재 차트보기")</f>
        <v>한국선재 차트보기</v>
      </c>
    </row>
    <row r="618" spans="1:33" x14ac:dyDescent="0.3">
      <c r="A618" t="s">
        <v>2499</v>
      </c>
      <c r="B618" t="s">
        <v>55</v>
      </c>
      <c r="C618" t="s">
        <v>2500</v>
      </c>
      <c r="D618">
        <v>79532.100000000006</v>
      </c>
      <c r="E618" t="s">
        <v>2501</v>
      </c>
      <c r="F618">
        <v>0</v>
      </c>
      <c r="G618">
        <v>2.190000057220459</v>
      </c>
      <c r="H618">
        <v>0</v>
      </c>
      <c r="I618">
        <v>0</v>
      </c>
      <c r="J618" t="s">
        <v>2502</v>
      </c>
      <c r="K618">
        <v>3170</v>
      </c>
      <c r="L618">
        <v>2220</v>
      </c>
      <c r="M618">
        <v>-29.97</v>
      </c>
      <c r="N618">
        <v>-3.48</v>
      </c>
      <c r="O618">
        <v>-13.83</v>
      </c>
      <c r="P618">
        <v>-2</v>
      </c>
      <c r="Q618">
        <v>4.21</v>
      </c>
      <c r="R618">
        <v>-8.6999999999999993</v>
      </c>
      <c r="S618">
        <v>-3.25</v>
      </c>
      <c r="T618">
        <v>3.11</v>
      </c>
      <c r="U618">
        <v>2.17</v>
      </c>
      <c r="V618">
        <v>4.5999999999999996</v>
      </c>
      <c r="W618">
        <v>9.48</v>
      </c>
      <c r="X618">
        <v>2.21</v>
      </c>
      <c r="Y618">
        <v>2.64</v>
      </c>
      <c r="Z618">
        <v>1.1200000000000001</v>
      </c>
      <c r="AA618">
        <v>6.37</v>
      </c>
      <c r="AB618">
        <v>0.43</v>
      </c>
      <c r="AC618">
        <v>0.44</v>
      </c>
      <c r="AD618">
        <v>3.94</v>
      </c>
      <c r="AE618">
        <v>1.23</v>
      </c>
      <c r="AF618">
        <v>2.2549999999999999</v>
      </c>
      <c r="AG618" t="str">
        <f>HYPERLINK("https://finance.naver.com/item/fchart.naver?code=229000", "젠큐릭스 차트보기")</f>
        <v>젠큐릭스 차트보기</v>
      </c>
    </row>
    <row r="619" spans="1:33" x14ac:dyDescent="0.3">
      <c r="A619" t="s">
        <v>2503</v>
      </c>
      <c r="B619" t="s">
        <v>55</v>
      </c>
      <c r="C619" t="s">
        <v>2504</v>
      </c>
      <c r="D619">
        <v>42369.760000000002</v>
      </c>
      <c r="E619" t="s">
        <v>2505</v>
      </c>
      <c r="F619">
        <v>0</v>
      </c>
      <c r="G619">
        <v>0.8399999737739563</v>
      </c>
      <c r="H619">
        <v>0</v>
      </c>
      <c r="I619">
        <v>0</v>
      </c>
      <c r="J619" t="s">
        <v>2506</v>
      </c>
      <c r="K619">
        <v>10410</v>
      </c>
      <c r="L619">
        <v>5870</v>
      </c>
      <c r="M619">
        <v>-43.61</v>
      </c>
      <c r="N619">
        <v>-5.48</v>
      </c>
      <c r="O619">
        <v>-14.97</v>
      </c>
      <c r="P619">
        <v>-11.68</v>
      </c>
      <c r="Q619">
        <v>-7.39</v>
      </c>
      <c r="R619">
        <v>2.71</v>
      </c>
      <c r="S619">
        <v>-2.5099999999999998</v>
      </c>
      <c r="T619">
        <v>3.85</v>
      </c>
      <c r="U619">
        <v>2.41</v>
      </c>
      <c r="V619">
        <v>3.05</v>
      </c>
      <c r="W619">
        <v>6.46</v>
      </c>
      <c r="X619">
        <v>6.86</v>
      </c>
      <c r="Y619">
        <v>4.63</v>
      </c>
      <c r="Z619">
        <v>1.42</v>
      </c>
      <c r="AA619">
        <v>6.21</v>
      </c>
      <c r="AB619">
        <v>3.83</v>
      </c>
      <c r="AC619">
        <v>1.1399999999999999</v>
      </c>
      <c r="AD619">
        <v>0.4</v>
      </c>
      <c r="AE619">
        <v>0.54</v>
      </c>
      <c r="AF619">
        <v>2.2566666666666668</v>
      </c>
      <c r="AG619" t="str">
        <f>HYPERLINK("https://finance.naver.com/item/fchart.naver?code=240600", "유진테크놀로지 차트보기")</f>
        <v>유진테크놀로지 차트보기</v>
      </c>
    </row>
    <row r="620" spans="1:33" x14ac:dyDescent="0.3">
      <c r="A620" t="s">
        <v>2507</v>
      </c>
      <c r="B620" t="s">
        <v>34</v>
      </c>
      <c r="C620" t="s">
        <v>2508</v>
      </c>
      <c r="D620">
        <v>54765.9</v>
      </c>
      <c r="E620" t="s">
        <v>2509</v>
      </c>
      <c r="F620">
        <v>0</v>
      </c>
      <c r="G620">
        <v>0.34999999403953552</v>
      </c>
      <c r="H620">
        <v>0</v>
      </c>
      <c r="I620">
        <v>2.6500000953674321</v>
      </c>
      <c r="J620" t="s">
        <v>2510</v>
      </c>
      <c r="K620">
        <v>4345</v>
      </c>
      <c r="L620">
        <v>3780</v>
      </c>
      <c r="M620">
        <v>-13</v>
      </c>
      <c r="N620">
        <v>-6.2</v>
      </c>
      <c r="O620">
        <v>-2.1</v>
      </c>
      <c r="P620">
        <v>4.59</v>
      </c>
      <c r="Q620">
        <v>4.24</v>
      </c>
      <c r="R620">
        <v>-4.68</v>
      </c>
      <c r="S620">
        <v>-4.43</v>
      </c>
      <c r="T620">
        <v>2.73</v>
      </c>
      <c r="U620">
        <v>1.36</v>
      </c>
      <c r="V620">
        <v>1.17</v>
      </c>
      <c r="W620">
        <v>2.92</v>
      </c>
      <c r="X620">
        <v>1.93</v>
      </c>
      <c r="Y620">
        <v>2.27</v>
      </c>
      <c r="Z620">
        <v>2.27</v>
      </c>
      <c r="AA620">
        <v>1.54</v>
      </c>
      <c r="AB620">
        <v>3.92</v>
      </c>
      <c r="AC620">
        <v>1.45</v>
      </c>
      <c r="AD620">
        <v>2.42</v>
      </c>
      <c r="AE620">
        <v>1.95</v>
      </c>
      <c r="AF620">
        <v>2.2583333333333329</v>
      </c>
      <c r="AG620" t="str">
        <f>HYPERLINK("https://finance.naver.com/item/fchart.naver?code=009160", "SIMPAC 차트보기")</f>
        <v>SIMPAC 차트보기</v>
      </c>
    </row>
    <row r="621" spans="1:33" x14ac:dyDescent="0.3">
      <c r="A621" t="s">
        <v>2511</v>
      </c>
      <c r="B621" t="s">
        <v>55</v>
      </c>
      <c r="C621" t="s">
        <v>2512</v>
      </c>
      <c r="D621">
        <v>46452.1</v>
      </c>
      <c r="E621" t="s">
        <v>2513</v>
      </c>
      <c r="F621">
        <v>7.94</v>
      </c>
      <c r="G621">
        <v>1.429999947547913</v>
      </c>
      <c r="H621">
        <v>1253</v>
      </c>
      <c r="I621">
        <v>2.0099999904632568</v>
      </c>
      <c r="J621" t="s">
        <v>2514</v>
      </c>
      <c r="K621">
        <v>13190</v>
      </c>
      <c r="L621">
        <v>9950</v>
      </c>
      <c r="M621">
        <v>-24.56</v>
      </c>
      <c r="N621">
        <v>-4.05</v>
      </c>
      <c r="O621">
        <v>2.13</v>
      </c>
      <c r="P621">
        <v>1.99</v>
      </c>
      <c r="Q621">
        <v>-4.1399999999999997</v>
      </c>
      <c r="R621">
        <v>-11.12</v>
      </c>
      <c r="S621">
        <v>-7.58</v>
      </c>
      <c r="T621">
        <v>2.57</v>
      </c>
      <c r="U621">
        <v>1.72</v>
      </c>
      <c r="V621">
        <v>3.29</v>
      </c>
      <c r="W621">
        <v>3.42</v>
      </c>
      <c r="X621">
        <v>1.84</v>
      </c>
      <c r="Y621">
        <v>2.62</v>
      </c>
      <c r="Z621">
        <v>1.58</v>
      </c>
      <c r="AA621">
        <v>1.24</v>
      </c>
      <c r="AB621">
        <v>0.6</v>
      </c>
      <c r="AC621">
        <v>1.21</v>
      </c>
      <c r="AD621">
        <v>6.04</v>
      </c>
      <c r="AE621">
        <v>2.89</v>
      </c>
      <c r="AF621">
        <v>2.2599999999999998</v>
      </c>
      <c r="AG621" t="str">
        <f>HYPERLINK("https://finance.naver.com/item/fchart.naver?code=230360", "에코마케팅 차트보기")</f>
        <v>에코마케팅 차트보기</v>
      </c>
    </row>
    <row r="622" spans="1:33" x14ac:dyDescent="0.3">
      <c r="A622" t="s">
        <v>2515</v>
      </c>
      <c r="B622" t="s">
        <v>34</v>
      </c>
      <c r="C622" t="s">
        <v>2516</v>
      </c>
      <c r="D622">
        <v>20620.669999999998</v>
      </c>
      <c r="E622" t="s">
        <v>2517</v>
      </c>
      <c r="F622">
        <v>6.63</v>
      </c>
      <c r="G622">
        <v>0.50999999046325684</v>
      </c>
      <c r="H622">
        <v>790</v>
      </c>
      <c r="I622">
        <v>5.1500000953674316</v>
      </c>
      <c r="J622" t="s">
        <v>2518</v>
      </c>
      <c r="K622">
        <v>6090</v>
      </c>
      <c r="L622">
        <v>5240</v>
      </c>
      <c r="M622">
        <v>-13.96</v>
      </c>
      <c r="N622">
        <v>1.1599999999999999</v>
      </c>
      <c r="O622">
        <v>0.39</v>
      </c>
      <c r="P622">
        <v>-0.76</v>
      </c>
      <c r="Q622">
        <v>-3.12</v>
      </c>
      <c r="R622">
        <v>-2.9</v>
      </c>
      <c r="S622">
        <v>-7.02</v>
      </c>
      <c r="T622">
        <v>0.86</v>
      </c>
      <c r="U622">
        <v>0.76</v>
      </c>
      <c r="V622">
        <v>1.48</v>
      </c>
      <c r="W622">
        <v>2.44</v>
      </c>
      <c r="X622">
        <v>1</v>
      </c>
      <c r="Y622">
        <v>1</v>
      </c>
      <c r="Z622">
        <v>1.35</v>
      </c>
      <c r="AA622">
        <v>0.51</v>
      </c>
      <c r="AB622">
        <v>0.51</v>
      </c>
      <c r="AC622">
        <v>1.28</v>
      </c>
      <c r="AD622">
        <v>2.9</v>
      </c>
      <c r="AE622">
        <v>7.02</v>
      </c>
      <c r="AF622">
        <v>2.2616666666666672</v>
      </c>
      <c r="AG622" t="str">
        <f>HYPERLINK("https://finance.naver.com/item/fchart.naver?code=015890", "태경산업 차트보기")</f>
        <v>태경산업 차트보기</v>
      </c>
    </row>
    <row r="623" spans="1:33" x14ac:dyDescent="0.3">
      <c r="A623" t="s">
        <v>2519</v>
      </c>
      <c r="B623" t="s">
        <v>55</v>
      </c>
      <c r="C623" t="s">
        <v>2520</v>
      </c>
      <c r="D623">
        <v>20032.29</v>
      </c>
      <c r="E623" t="s">
        <v>2521</v>
      </c>
      <c r="F623">
        <v>87.5</v>
      </c>
      <c r="G623">
        <v>0.92000001668930054</v>
      </c>
      <c r="H623">
        <v>48</v>
      </c>
      <c r="I623">
        <v>0</v>
      </c>
      <c r="J623" t="s">
        <v>2522</v>
      </c>
      <c r="K623">
        <v>5510</v>
      </c>
      <c r="L623">
        <v>4200</v>
      </c>
      <c r="M623">
        <v>-23.77</v>
      </c>
      <c r="N623">
        <v>-0.94</v>
      </c>
      <c r="O623">
        <v>-1.89</v>
      </c>
      <c r="P623">
        <v>-11.42</v>
      </c>
      <c r="Q623">
        <v>-13.53</v>
      </c>
      <c r="R623">
        <v>-11.28</v>
      </c>
      <c r="S623">
        <v>9.89</v>
      </c>
      <c r="T623">
        <v>3.95</v>
      </c>
      <c r="U623">
        <v>2.66</v>
      </c>
      <c r="V623">
        <v>2.39</v>
      </c>
      <c r="W623">
        <v>3.69</v>
      </c>
      <c r="X623">
        <v>5.89</v>
      </c>
      <c r="Y623">
        <v>4.38</v>
      </c>
      <c r="Z623">
        <v>0.24</v>
      </c>
      <c r="AA623">
        <v>0.71</v>
      </c>
      <c r="AB623">
        <v>4.78</v>
      </c>
      <c r="AC623">
        <v>3.67</v>
      </c>
      <c r="AD623">
        <v>1.92</v>
      </c>
      <c r="AE623">
        <v>2.2599999999999998</v>
      </c>
      <c r="AF623">
        <v>2.2633333333333332</v>
      </c>
      <c r="AG623" t="str">
        <f>HYPERLINK("https://finance.naver.com/item/fchart.naver?code=095270", "웨이브일렉트로 차트보기")</f>
        <v>웨이브일렉트로 차트보기</v>
      </c>
    </row>
    <row r="624" spans="1:33" x14ac:dyDescent="0.3">
      <c r="A624" t="s">
        <v>2523</v>
      </c>
      <c r="B624" t="s">
        <v>55</v>
      </c>
      <c r="C624" t="s">
        <v>2524</v>
      </c>
      <c r="D624">
        <v>301205.76000000001</v>
      </c>
      <c r="E624" t="s">
        <v>2525</v>
      </c>
      <c r="F624">
        <v>0</v>
      </c>
      <c r="G624">
        <v>0.34000000357627869</v>
      </c>
      <c r="H624">
        <v>0</v>
      </c>
      <c r="I624">
        <v>1.440000057220459</v>
      </c>
      <c r="J624" t="s">
        <v>2526</v>
      </c>
      <c r="K624">
        <v>16000</v>
      </c>
      <c r="L624">
        <v>13850</v>
      </c>
      <c r="M624">
        <v>-13.44</v>
      </c>
      <c r="N624">
        <v>19.29</v>
      </c>
      <c r="O624">
        <v>1.17</v>
      </c>
      <c r="P624">
        <v>0.66</v>
      </c>
      <c r="Q624">
        <v>-3.31</v>
      </c>
      <c r="R624">
        <v>-13.93</v>
      </c>
      <c r="S624">
        <v>-4.99</v>
      </c>
      <c r="T624">
        <v>5.95</v>
      </c>
      <c r="U624">
        <v>3.21</v>
      </c>
      <c r="V624">
        <v>4.17</v>
      </c>
      <c r="W624">
        <v>3.79</v>
      </c>
      <c r="X624">
        <v>2.33</v>
      </c>
      <c r="Y624">
        <v>1.67</v>
      </c>
      <c r="Z624">
        <v>3.24</v>
      </c>
      <c r="AA624">
        <v>0.36</v>
      </c>
      <c r="AB624">
        <v>0.16</v>
      </c>
      <c r="AC624">
        <v>0.87</v>
      </c>
      <c r="AD624">
        <v>5.98</v>
      </c>
      <c r="AE624">
        <v>2.99</v>
      </c>
      <c r="AF624">
        <v>2.2666666666666671</v>
      </c>
      <c r="AG624" t="str">
        <f>HYPERLINK("https://finance.naver.com/item/fchart.naver?code=035080", "그래디언트 차트보기")</f>
        <v>그래디언트 차트보기</v>
      </c>
    </row>
    <row r="625" spans="1:33" x14ac:dyDescent="0.3">
      <c r="A625" t="s">
        <v>2527</v>
      </c>
      <c r="B625" t="s">
        <v>34</v>
      </c>
      <c r="C625" t="s">
        <v>2528</v>
      </c>
      <c r="D625">
        <v>111715.29</v>
      </c>
      <c r="E625" t="s">
        <v>2529</v>
      </c>
      <c r="F625">
        <v>0</v>
      </c>
      <c r="G625">
        <v>0.47999998927116388</v>
      </c>
      <c r="H625">
        <v>0</v>
      </c>
      <c r="I625">
        <v>0</v>
      </c>
      <c r="J625" t="s">
        <v>2530</v>
      </c>
      <c r="K625">
        <v>1127</v>
      </c>
      <c r="L625">
        <v>1054</v>
      </c>
      <c r="M625">
        <v>-6.48</v>
      </c>
      <c r="N625">
        <v>-4.53</v>
      </c>
      <c r="O625">
        <v>5.38</v>
      </c>
      <c r="P625">
        <v>-6.53</v>
      </c>
      <c r="Q625">
        <v>22.22</v>
      </c>
      <c r="R625">
        <v>-4.2699999999999996</v>
      </c>
      <c r="S625">
        <v>-0.28000000000000003</v>
      </c>
      <c r="T625">
        <v>2.31</v>
      </c>
      <c r="U625">
        <v>2.5099999999999998</v>
      </c>
      <c r="V625">
        <v>2.5499999999999998</v>
      </c>
      <c r="W625">
        <v>7.63</v>
      </c>
      <c r="X625">
        <v>1.18</v>
      </c>
      <c r="Y625">
        <v>0.65</v>
      </c>
      <c r="Z625">
        <v>1.96</v>
      </c>
      <c r="AA625">
        <v>2.14</v>
      </c>
      <c r="AB625">
        <v>2.56</v>
      </c>
      <c r="AC625">
        <v>2.91</v>
      </c>
      <c r="AD625">
        <v>3.62</v>
      </c>
      <c r="AE625">
        <v>0.43</v>
      </c>
      <c r="AF625">
        <v>2.27</v>
      </c>
      <c r="AG625" t="str">
        <f>HYPERLINK("https://finance.naver.com/item/fchart.naver?code=007120", "미래아이앤지 차트보기")</f>
        <v>미래아이앤지 차트보기</v>
      </c>
    </row>
    <row r="626" spans="1:33" x14ac:dyDescent="0.3">
      <c r="A626" t="s">
        <v>2531</v>
      </c>
      <c r="B626" t="s">
        <v>55</v>
      </c>
      <c r="C626" t="s">
        <v>2532</v>
      </c>
      <c r="D626">
        <v>1093965.43</v>
      </c>
      <c r="E626" t="s">
        <v>2533</v>
      </c>
      <c r="F626">
        <v>0</v>
      </c>
      <c r="G626">
        <v>1.7599999904632571</v>
      </c>
      <c r="H626">
        <v>0</v>
      </c>
      <c r="I626">
        <v>0</v>
      </c>
      <c r="J626" t="s">
        <v>2534</v>
      </c>
      <c r="K626">
        <v>3820</v>
      </c>
      <c r="L626">
        <v>3405</v>
      </c>
      <c r="M626">
        <v>-10.86</v>
      </c>
      <c r="N626">
        <v>-2.71</v>
      </c>
      <c r="O626">
        <v>3.47</v>
      </c>
      <c r="P626">
        <v>-8.9499999999999993</v>
      </c>
      <c r="Q626">
        <v>-16.920000000000002</v>
      </c>
      <c r="R626">
        <v>13.79</v>
      </c>
      <c r="S626">
        <v>-30.15</v>
      </c>
      <c r="T626">
        <v>2.48</v>
      </c>
      <c r="U626">
        <v>7.96</v>
      </c>
      <c r="V626">
        <v>2.8</v>
      </c>
      <c r="W626">
        <v>6.52</v>
      </c>
      <c r="X626">
        <v>4.47</v>
      </c>
      <c r="Y626">
        <v>9.4</v>
      </c>
      <c r="Z626">
        <v>1.0900000000000001</v>
      </c>
      <c r="AA626">
        <v>0.44</v>
      </c>
      <c r="AB626">
        <v>3.2</v>
      </c>
      <c r="AC626">
        <v>2.6</v>
      </c>
      <c r="AD626">
        <v>3.09</v>
      </c>
      <c r="AE626">
        <v>3.21</v>
      </c>
      <c r="AF626">
        <v>2.2716666666666669</v>
      </c>
      <c r="AG626" t="str">
        <f>HYPERLINK("https://finance.naver.com/item/fchart.naver?code=314130", "지놈앤컴퍼니 차트보기")</f>
        <v>지놈앤컴퍼니 차트보기</v>
      </c>
    </row>
    <row r="627" spans="1:33" x14ac:dyDescent="0.3">
      <c r="A627" t="s">
        <v>2535</v>
      </c>
      <c r="B627" t="s">
        <v>34</v>
      </c>
      <c r="C627" t="s">
        <v>2536</v>
      </c>
      <c r="D627">
        <v>2648.57</v>
      </c>
      <c r="E627" t="s">
        <v>2537</v>
      </c>
      <c r="F627">
        <v>8.36</v>
      </c>
      <c r="G627">
        <v>0.43999999761581421</v>
      </c>
      <c r="H627">
        <v>5210</v>
      </c>
      <c r="I627">
        <v>0.46000000834465032</v>
      </c>
      <c r="J627" t="s">
        <v>2538</v>
      </c>
      <c r="K627">
        <v>51200</v>
      </c>
      <c r="L627">
        <v>43550</v>
      </c>
      <c r="M627">
        <v>-14.94</v>
      </c>
      <c r="N627">
        <v>-1.02</v>
      </c>
      <c r="O627">
        <v>-2.63</v>
      </c>
      <c r="P627">
        <v>-2.35</v>
      </c>
      <c r="Q627">
        <v>-5.88</v>
      </c>
      <c r="R627">
        <v>-1.96</v>
      </c>
      <c r="S627">
        <v>-1.1399999999999999</v>
      </c>
      <c r="T627">
        <v>0.69</v>
      </c>
      <c r="U627">
        <v>0.52</v>
      </c>
      <c r="V627">
        <v>1.25</v>
      </c>
      <c r="W627">
        <v>1.94</v>
      </c>
      <c r="X627">
        <v>1.17</v>
      </c>
      <c r="Y627">
        <v>2.25</v>
      </c>
      <c r="Z627">
        <v>1.48</v>
      </c>
      <c r="AA627">
        <v>5.0599999999999996</v>
      </c>
      <c r="AB627">
        <v>1.88</v>
      </c>
      <c r="AC627">
        <v>3.03</v>
      </c>
      <c r="AD627">
        <v>1.68</v>
      </c>
      <c r="AE627">
        <v>0.51</v>
      </c>
      <c r="AF627">
        <v>2.273333333333333</v>
      </c>
      <c r="AG627" t="str">
        <f>HYPERLINK("https://finance.naver.com/item/fchart.naver?code=007540", "샘표 차트보기")</f>
        <v>샘표 차트보기</v>
      </c>
    </row>
    <row r="628" spans="1:33" x14ac:dyDescent="0.3">
      <c r="A628" t="s">
        <v>2539</v>
      </c>
      <c r="B628" t="s">
        <v>55</v>
      </c>
      <c r="C628" t="s">
        <v>2540</v>
      </c>
      <c r="D628">
        <v>18686.759999999998</v>
      </c>
      <c r="E628" t="s">
        <v>2541</v>
      </c>
      <c r="F628">
        <v>29.91</v>
      </c>
      <c r="G628">
        <v>0.92000001668930054</v>
      </c>
      <c r="H628">
        <v>107</v>
      </c>
      <c r="I628">
        <v>0</v>
      </c>
      <c r="J628" t="s">
        <v>2542</v>
      </c>
      <c r="K628">
        <v>4190</v>
      </c>
      <c r="L628">
        <v>3200</v>
      </c>
      <c r="M628">
        <v>-23.63</v>
      </c>
      <c r="N628">
        <v>1.75</v>
      </c>
      <c r="O628">
        <v>0.49</v>
      </c>
      <c r="P628">
        <v>-6.84</v>
      </c>
      <c r="Q628">
        <v>-0.74</v>
      </c>
      <c r="R628">
        <v>-15.56</v>
      </c>
      <c r="S628">
        <v>4.4400000000000004</v>
      </c>
      <c r="T628">
        <v>1.46</v>
      </c>
      <c r="U628">
        <v>2.23</v>
      </c>
      <c r="V628">
        <v>2.84</v>
      </c>
      <c r="W628">
        <v>2.86</v>
      </c>
      <c r="X628">
        <v>1.94</v>
      </c>
      <c r="Y628">
        <v>2.91</v>
      </c>
      <c r="Z628">
        <v>1.2</v>
      </c>
      <c r="AA628">
        <v>0.22</v>
      </c>
      <c r="AB628">
        <v>2.41</v>
      </c>
      <c r="AC628">
        <v>0.26</v>
      </c>
      <c r="AD628">
        <v>8.02</v>
      </c>
      <c r="AE628">
        <v>1.53</v>
      </c>
      <c r="AF628">
        <v>2.273333333333333</v>
      </c>
      <c r="AG628" t="str">
        <f>HYPERLINK("https://finance.naver.com/item/fchart.naver?code=220180", "핸디소프트 차트보기")</f>
        <v>핸디소프트 차트보기</v>
      </c>
    </row>
    <row r="629" spans="1:33" x14ac:dyDescent="0.3">
      <c r="A629" t="s">
        <v>2543</v>
      </c>
      <c r="B629" t="s">
        <v>34</v>
      </c>
      <c r="C629" t="s">
        <v>2544</v>
      </c>
      <c r="D629">
        <v>196885.76000000001</v>
      </c>
      <c r="E629" t="s">
        <v>2545</v>
      </c>
      <c r="F629">
        <v>13.24</v>
      </c>
      <c r="G629">
        <v>1.309999942779541</v>
      </c>
      <c r="H629">
        <v>103</v>
      </c>
      <c r="I629">
        <v>0</v>
      </c>
      <c r="J629" t="s">
        <v>2546</v>
      </c>
      <c r="K629">
        <v>1641</v>
      </c>
      <c r="L629">
        <v>1364</v>
      </c>
      <c r="M629">
        <v>-16.88</v>
      </c>
      <c r="N629">
        <v>-3.4</v>
      </c>
      <c r="O629">
        <v>9.39</v>
      </c>
      <c r="P629">
        <v>-0.75</v>
      </c>
      <c r="Q629">
        <v>-1.0900000000000001</v>
      </c>
      <c r="R629">
        <v>-8.2200000000000006</v>
      </c>
      <c r="S629">
        <v>-13.96</v>
      </c>
      <c r="T629">
        <v>2.76</v>
      </c>
      <c r="U629">
        <v>2.0499999999999998</v>
      </c>
      <c r="V629">
        <v>3.13</v>
      </c>
      <c r="W629">
        <v>3.31</v>
      </c>
      <c r="X629">
        <v>3.59</v>
      </c>
      <c r="Y629">
        <v>2.81</v>
      </c>
      <c r="Z629">
        <v>1.23</v>
      </c>
      <c r="AA629">
        <v>4.58</v>
      </c>
      <c r="AB629">
        <v>0.24</v>
      </c>
      <c r="AC629">
        <v>0.33</v>
      </c>
      <c r="AD629">
        <v>2.29</v>
      </c>
      <c r="AE629">
        <v>4.97</v>
      </c>
      <c r="AF629">
        <v>2.273333333333333</v>
      </c>
      <c r="AG629" t="str">
        <f>HYPERLINK("https://finance.naver.com/item/fchart.naver?code=033250", "체시스 차트보기")</f>
        <v>체시스 차트보기</v>
      </c>
    </row>
    <row r="630" spans="1:33" x14ac:dyDescent="0.3">
      <c r="A630" t="s">
        <v>2547</v>
      </c>
      <c r="B630" t="s">
        <v>34</v>
      </c>
      <c r="C630" t="s">
        <v>2548</v>
      </c>
      <c r="D630">
        <v>104.52</v>
      </c>
      <c r="E630" t="s">
        <v>2549</v>
      </c>
      <c r="F630">
        <v>0</v>
      </c>
      <c r="G630">
        <v>0</v>
      </c>
      <c r="H630">
        <v>0</v>
      </c>
      <c r="I630">
        <v>0.63999998569488525</v>
      </c>
      <c r="J630" t="s">
        <v>2550</v>
      </c>
      <c r="K630">
        <v>58700</v>
      </c>
      <c r="L630">
        <v>62100</v>
      </c>
      <c r="M630">
        <v>5.79</v>
      </c>
      <c r="N630">
        <v>5.25</v>
      </c>
      <c r="O630">
        <v>0.68</v>
      </c>
      <c r="P630">
        <v>0.87</v>
      </c>
      <c r="Q630">
        <v>0.35</v>
      </c>
      <c r="R630">
        <v>2.14</v>
      </c>
      <c r="S630">
        <v>-4.92</v>
      </c>
      <c r="T630">
        <v>2.72</v>
      </c>
      <c r="U630">
        <v>1.87</v>
      </c>
      <c r="V630">
        <v>0.93</v>
      </c>
      <c r="W630">
        <v>0.27</v>
      </c>
      <c r="X630">
        <v>0.72</v>
      </c>
      <c r="Y630">
        <v>0.8</v>
      </c>
      <c r="Z630">
        <v>1.93</v>
      </c>
      <c r="AA630">
        <v>0.36</v>
      </c>
      <c r="AB630">
        <v>0.94</v>
      </c>
      <c r="AC630">
        <v>1.3</v>
      </c>
      <c r="AD630">
        <v>2.97</v>
      </c>
      <c r="AE630">
        <v>6.15</v>
      </c>
      <c r="AF630">
        <v>2.2749999999999999</v>
      </c>
      <c r="AG630" t="str">
        <f>HYPERLINK("https://finance.naver.com/item/fchart.naver?code=001067", "JW중외제약2우B 차트보기")</f>
        <v>JW중외제약2우B 차트보기</v>
      </c>
    </row>
    <row r="631" spans="1:33" x14ac:dyDescent="0.3">
      <c r="A631" t="s">
        <v>2551</v>
      </c>
      <c r="B631" t="s">
        <v>55</v>
      </c>
      <c r="C631" t="s">
        <v>2552</v>
      </c>
      <c r="D631">
        <v>25586.67</v>
      </c>
      <c r="E631" t="s">
        <v>2553</v>
      </c>
      <c r="F631">
        <v>26.96</v>
      </c>
      <c r="G631">
        <v>1.4099999666213989</v>
      </c>
      <c r="H631">
        <v>286</v>
      </c>
      <c r="I631">
        <v>0</v>
      </c>
      <c r="J631" t="s">
        <v>2554</v>
      </c>
      <c r="K631">
        <v>7640</v>
      </c>
      <c r="L631">
        <v>7710</v>
      </c>
      <c r="M631">
        <v>0.92</v>
      </c>
      <c r="N631">
        <v>-5.4</v>
      </c>
      <c r="O631">
        <v>9.08</v>
      </c>
      <c r="P631">
        <v>6.2</v>
      </c>
      <c r="Q631">
        <v>1.6</v>
      </c>
      <c r="R631">
        <v>1.48</v>
      </c>
      <c r="S631">
        <v>-5.03</v>
      </c>
      <c r="T631">
        <v>2.08</v>
      </c>
      <c r="U631">
        <v>1.92</v>
      </c>
      <c r="V631">
        <v>2.39</v>
      </c>
      <c r="W631">
        <v>3.76</v>
      </c>
      <c r="X631">
        <v>2.11</v>
      </c>
      <c r="Y631">
        <v>1.93</v>
      </c>
      <c r="Z631">
        <v>2.6</v>
      </c>
      <c r="AA631">
        <v>4.7300000000000004</v>
      </c>
      <c r="AB631">
        <v>2.59</v>
      </c>
      <c r="AC631">
        <v>0.43</v>
      </c>
      <c r="AD631">
        <v>0.7</v>
      </c>
      <c r="AE631">
        <v>2.61</v>
      </c>
      <c r="AF631">
        <v>2.276666666666666</v>
      </c>
      <c r="AG631" t="str">
        <f>HYPERLINK("https://finance.naver.com/item/fchart.naver?code=136410", "아셈스 차트보기")</f>
        <v>아셈스 차트보기</v>
      </c>
    </row>
    <row r="632" spans="1:33" x14ac:dyDescent="0.3">
      <c r="A632" t="s">
        <v>2555</v>
      </c>
      <c r="B632" t="s">
        <v>55</v>
      </c>
      <c r="C632" t="s">
        <v>2556</v>
      </c>
      <c r="D632">
        <v>62435.62</v>
      </c>
      <c r="E632" t="s">
        <v>2557</v>
      </c>
      <c r="F632">
        <v>0</v>
      </c>
      <c r="G632">
        <v>7.9200000762939453</v>
      </c>
      <c r="H632">
        <v>0</v>
      </c>
      <c r="I632">
        <v>0</v>
      </c>
      <c r="J632" t="s">
        <v>2558</v>
      </c>
      <c r="K632">
        <v>12730</v>
      </c>
      <c r="L632">
        <v>7490</v>
      </c>
      <c r="M632">
        <v>-41.16</v>
      </c>
      <c r="N632">
        <v>-3.85</v>
      </c>
      <c r="O632">
        <v>-4.3099999999999996</v>
      </c>
      <c r="P632">
        <v>2.81</v>
      </c>
      <c r="Q632">
        <v>-7.63</v>
      </c>
      <c r="R632">
        <v>-16.149999999999999</v>
      </c>
      <c r="S632">
        <v>-9.3699999999999992</v>
      </c>
      <c r="T632">
        <v>2.11</v>
      </c>
      <c r="U632">
        <v>1.94</v>
      </c>
      <c r="V632">
        <v>3.22</v>
      </c>
      <c r="W632">
        <v>5.08</v>
      </c>
      <c r="X632">
        <v>4.32</v>
      </c>
      <c r="Y632">
        <v>2.67</v>
      </c>
      <c r="Z632">
        <v>1.82</v>
      </c>
      <c r="AA632">
        <v>2.2200000000000002</v>
      </c>
      <c r="AB632">
        <v>0.87</v>
      </c>
      <c r="AC632">
        <v>1.5</v>
      </c>
      <c r="AD632">
        <v>3.74</v>
      </c>
      <c r="AE632">
        <v>3.51</v>
      </c>
      <c r="AF632">
        <v>2.2766666666666668</v>
      </c>
      <c r="AG632" t="str">
        <f>HYPERLINK("https://finance.naver.com/item/fchart.naver?code=384470", "코어라인소프트 차트보기")</f>
        <v>코어라인소프트 차트보기</v>
      </c>
    </row>
    <row r="633" spans="1:33" x14ac:dyDescent="0.3">
      <c r="A633" t="s">
        <v>2559</v>
      </c>
      <c r="B633" t="s">
        <v>34</v>
      </c>
      <c r="C633" t="s">
        <v>2560</v>
      </c>
      <c r="D633">
        <v>5579.48</v>
      </c>
      <c r="E633" t="s">
        <v>2561</v>
      </c>
      <c r="F633">
        <v>6.41</v>
      </c>
      <c r="G633">
        <v>0.36000001430511469</v>
      </c>
      <c r="H633">
        <v>6371</v>
      </c>
      <c r="I633">
        <v>3.6700000762939449</v>
      </c>
      <c r="J633" t="s">
        <v>2562</v>
      </c>
      <c r="K633">
        <v>37600</v>
      </c>
      <c r="L633">
        <v>40850</v>
      </c>
      <c r="M633">
        <v>8.64</v>
      </c>
      <c r="N633">
        <v>-2.27</v>
      </c>
      <c r="O633">
        <v>-2.38</v>
      </c>
      <c r="P633">
        <v>9.9499999999999993</v>
      </c>
      <c r="Q633">
        <v>0.93</v>
      </c>
      <c r="R633">
        <v>-0.92</v>
      </c>
      <c r="S633">
        <v>-1.56</v>
      </c>
      <c r="T633">
        <v>1.1100000000000001</v>
      </c>
      <c r="U633">
        <v>1.1200000000000001</v>
      </c>
      <c r="V633">
        <v>1.53</v>
      </c>
      <c r="W633">
        <v>1.8</v>
      </c>
      <c r="X633">
        <v>0.7</v>
      </c>
      <c r="Y633">
        <v>1.32</v>
      </c>
      <c r="Z633">
        <v>2.0499999999999998</v>
      </c>
      <c r="AA633">
        <v>2.12</v>
      </c>
      <c r="AB633">
        <v>6.5</v>
      </c>
      <c r="AC633">
        <v>0.52</v>
      </c>
      <c r="AD633">
        <v>1.31</v>
      </c>
      <c r="AE633">
        <v>1.18</v>
      </c>
      <c r="AF633">
        <v>2.2799999999999998</v>
      </c>
      <c r="AG633" t="str">
        <f>HYPERLINK("https://finance.naver.com/item/fchart.naver?code=029530", "신도리코 차트보기")</f>
        <v>신도리코 차트보기</v>
      </c>
    </row>
    <row r="634" spans="1:33" x14ac:dyDescent="0.3">
      <c r="A634" t="s">
        <v>2563</v>
      </c>
      <c r="B634" t="s">
        <v>34</v>
      </c>
      <c r="C634" t="s">
        <v>2564</v>
      </c>
      <c r="D634">
        <v>1875.29</v>
      </c>
      <c r="E634" t="s">
        <v>2565</v>
      </c>
      <c r="F634">
        <v>0</v>
      </c>
      <c r="G634">
        <v>0</v>
      </c>
      <c r="H634">
        <v>0</v>
      </c>
      <c r="I634">
        <v>0</v>
      </c>
      <c r="J634" t="s">
        <v>2566</v>
      </c>
      <c r="K634">
        <v>77300</v>
      </c>
      <c r="L634">
        <v>75300</v>
      </c>
      <c r="M634">
        <v>-2.59</v>
      </c>
      <c r="N634">
        <v>-7.15</v>
      </c>
      <c r="O634">
        <v>-1.36</v>
      </c>
      <c r="P634">
        <v>0.74</v>
      </c>
      <c r="Q634">
        <v>0</v>
      </c>
      <c r="R634">
        <v>-8.02</v>
      </c>
      <c r="S634">
        <v>16.059999999999999</v>
      </c>
      <c r="T634">
        <v>1.48</v>
      </c>
      <c r="U634">
        <v>1.1499999999999999</v>
      </c>
      <c r="V634">
        <v>1.1499999999999999</v>
      </c>
      <c r="W634">
        <v>4.16</v>
      </c>
      <c r="X634">
        <v>1.87</v>
      </c>
      <c r="Y634">
        <v>5.82</v>
      </c>
      <c r="Z634">
        <v>4.83</v>
      </c>
      <c r="AA634">
        <v>1.18</v>
      </c>
      <c r="AB634">
        <v>0.64</v>
      </c>
      <c r="AC634">
        <v>0</v>
      </c>
      <c r="AD634">
        <v>4.29</v>
      </c>
      <c r="AE634">
        <v>2.76</v>
      </c>
      <c r="AF634">
        <v>2.2833333333333332</v>
      </c>
      <c r="AG634" t="str">
        <f>HYPERLINK("https://finance.naver.com/item/fchart.naver?code=096775", "SK이노베이션우 차트보기")</f>
        <v>SK이노베이션우 차트보기</v>
      </c>
    </row>
    <row r="635" spans="1:33" x14ac:dyDescent="0.3">
      <c r="A635" t="s">
        <v>2567</v>
      </c>
      <c r="B635" t="s">
        <v>55</v>
      </c>
      <c r="C635" t="s">
        <v>2568</v>
      </c>
      <c r="D635">
        <v>37964.949999999997</v>
      </c>
      <c r="E635" t="s">
        <v>2569</v>
      </c>
      <c r="F635">
        <v>6.69</v>
      </c>
      <c r="G635">
        <v>0.76999998092651367</v>
      </c>
      <c r="H635">
        <v>3687</v>
      </c>
      <c r="I635">
        <v>4.2600002288818359</v>
      </c>
      <c r="J635" t="s">
        <v>2570</v>
      </c>
      <c r="K635">
        <v>28800</v>
      </c>
      <c r="L635">
        <v>24650</v>
      </c>
      <c r="M635">
        <v>-14.41</v>
      </c>
      <c r="N635">
        <v>6.02</v>
      </c>
      <c r="O635">
        <v>-7.81</v>
      </c>
      <c r="P635">
        <v>-5.82</v>
      </c>
      <c r="Q635">
        <v>-7.22</v>
      </c>
      <c r="R635">
        <v>1.45</v>
      </c>
      <c r="S635">
        <v>-3.46</v>
      </c>
      <c r="T635">
        <v>2.42</v>
      </c>
      <c r="U635">
        <v>1.85</v>
      </c>
      <c r="V635">
        <v>2.06</v>
      </c>
      <c r="W635">
        <v>3.95</v>
      </c>
      <c r="X635">
        <v>1.96</v>
      </c>
      <c r="Y635">
        <v>2.1800000000000002</v>
      </c>
      <c r="Z635">
        <v>2.4900000000000002</v>
      </c>
      <c r="AA635">
        <v>4.22</v>
      </c>
      <c r="AB635">
        <v>2.83</v>
      </c>
      <c r="AC635">
        <v>1.83</v>
      </c>
      <c r="AD635">
        <v>0.74</v>
      </c>
      <c r="AE635">
        <v>1.59</v>
      </c>
      <c r="AF635">
        <v>2.2833333333333332</v>
      </c>
      <c r="AG635" t="str">
        <f>HYPERLINK("https://finance.naver.com/item/fchart.naver?code=013030", "하이록코리아 차트보기")</f>
        <v>하이록코리아 차트보기</v>
      </c>
    </row>
    <row r="636" spans="1:33" x14ac:dyDescent="0.3">
      <c r="A636" t="s">
        <v>2571</v>
      </c>
      <c r="B636" t="s">
        <v>34</v>
      </c>
      <c r="C636" t="s">
        <v>2572</v>
      </c>
      <c r="D636">
        <v>41899</v>
      </c>
      <c r="E636" t="s">
        <v>2573</v>
      </c>
      <c r="F636">
        <v>230.98</v>
      </c>
      <c r="G636">
        <v>0.38999998569488531</v>
      </c>
      <c r="H636">
        <v>41</v>
      </c>
      <c r="I636">
        <v>5.809999942779541</v>
      </c>
      <c r="J636" t="s">
        <v>2574</v>
      </c>
      <c r="K636">
        <v>9170</v>
      </c>
      <c r="L636">
        <v>9470</v>
      </c>
      <c r="M636">
        <v>3.27</v>
      </c>
      <c r="N636">
        <v>-2.87</v>
      </c>
      <c r="O636">
        <v>6.4</v>
      </c>
      <c r="P636">
        <v>-0.32</v>
      </c>
      <c r="Q636">
        <v>1.75</v>
      </c>
      <c r="R636">
        <v>-0.11</v>
      </c>
      <c r="S636">
        <v>0.88</v>
      </c>
      <c r="T636">
        <v>1.22</v>
      </c>
      <c r="U636">
        <v>0.81</v>
      </c>
      <c r="V636">
        <v>0.96</v>
      </c>
      <c r="W636">
        <v>1.04</v>
      </c>
      <c r="X636">
        <v>0.41</v>
      </c>
      <c r="Y636">
        <v>0.75</v>
      </c>
      <c r="Z636">
        <v>2.35</v>
      </c>
      <c r="AA636">
        <v>7.9</v>
      </c>
      <c r="AB636">
        <v>0.33</v>
      </c>
      <c r="AC636">
        <v>1.68</v>
      </c>
      <c r="AD636">
        <v>0.27</v>
      </c>
      <c r="AE636">
        <v>1.17</v>
      </c>
      <c r="AF636">
        <v>2.2833333333333332</v>
      </c>
      <c r="AG636" t="str">
        <f>HYPERLINK("https://finance.naver.com/item/fchart.naver?code=000140", "하이트진로홀딩스 차트보기")</f>
        <v>하이트진로홀딩스 차트보기</v>
      </c>
    </row>
    <row r="637" spans="1:33" x14ac:dyDescent="0.3">
      <c r="A637" t="s">
        <v>2575</v>
      </c>
      <c r="B637" t="s">
        <v>55</v>
      </c>
      <c r="C637" t="s">
        <v>2576</v>
      </c>
      <c r="D637">
        <v>42978.38</v>
      </c>
      <c r="E637" t="s">
        <v>2577</v>
      </c>
      <c r="F637">
        <v>7.57</v>
      </c>
      <c r="G637">
        <v>0.8399999737739563</v>
      </c>
      <c r="H637">
        <v>384</v>
      </c>
      <c r="I637">
        <v>3.440000057220459</v>
      </c>
      <c r="J637" t="s">
        <v>2578</v>
      </c>
      <c r="K637">
        <v>3735</v>
      </c>
      <c r="L637">
        <v>2905</v>
      </c>
      <c r="M637">
        <v>-22.22</v>
      </c>
      <c r="N637">
        <v>-1.69</v>
      </c>
      <c r="O637">
        <v>-2.63</v>
      </c>
      <c r="P637">
        <v>-0.17</v>
      </c>
      <c r="Q637">
        <v>-13.6</v>
      </c>
      <c r="R637">
        <v>-2.3199999999999998</v>
      </c>
      <c r="S637">
        <v>-5.21</v>
      </c>
      <c r="T637">
        <v>1.44</v>
      </c>
      <c r="U637">
        <v>0.85</v>
      </c>
      <c r="V637">
        <v>2.2200000000000002</v>
      </c>
      <c r="W637">
        <v>3.48</v>
      </c>
      <c r="X637">
        <v>1.51</v>
      </c>
      <c r="Y637">
        <v>1.33</v>
      </c>
      <c r="Z637">
        <v>1.17</v>
      </c>
      <c r="AA637">
        <v>3.09</v>
      </c>
      <c r="AB637">
        <v>0.08</v>
      </c>
      <c r="AC637">
        <v>3.91</v>
      </c>
      <c r="AD637">
        <v>1.54</v>
      </c>
      <c r="AE637">
        <v>3.92</v>
      </c>
      <c r="AF637">
        <v>2.2850000000000001</v>
      </c>
      <c r="AG637" t="str">
        <f>HYPERLINK("https://finance.naver.com/item/fchart.naver?code=357230", "에이치피오 차트보기")</f>
        <v>에이치피오 차트보기</v>
      </c>
    </row>
    <row r="638" spans="1:33" x14ac:dyDescent="0.3">
      <c r="A638" t="s">
        <v>2579</v>
      </c>
      <c r="B638" t="s">
        <v>55</v>
      </c>
      <c r="C638" t="s">
        <v>2580</v>
      </c>
      <c r="D638">
        <v>183025.33</v>
      </c>
      <c r="E638" t="s">
        <v>2581</v>
      </c>
      <c r="F638">
        <v>34.200000000000003</v>
      </c>
      <c r="G638">
        <v>4.1100001335144043</v>
      </c>
      <c r="H638">
        <v>8217</v>
      </c>
      <c r="I638">
        <v>0</v>
      </c>
      <c r="J638" t="s">
        <v>2582</v>
      </c>
      <c r="K638">
        <v>198000</v>
      </c>
      <c r="L638">
        <v>281000</v>
      </c>
      <c r="M638">
        <v>41.92</v>
      </c>
      <c r="N638">
        <v>5.05</v>
      </c>
      <c r="O638">
        <v>13.04</v>
      </c>
      <c r="P638">
        <v>-6.81</v>
      </c>
      <c r="Q638">
        <v>10.55</v>
      </c>
      <c r="R638">
        <v>4.91</v>
      </c>
      <c r="S638">
        <v>14.36</v>
      </c>
      <c r="T638">
        <v>7.09</v>
      </c>
      <c r="U638">
        <v>3.45</v>
      </c>
      <c r="V638">
        <v>2.92</v>
      </c>
      <c r="W638">
        <v>4.51</v>
      </c>
      <c r="X638">
        <v>3.47</v>
      </c>
      <c r="Y638">
        <v>4.57</v>
      </c>
      <c r="Z638">
        <v>0.71</v>
      </c>
      <c r="AA638">
        <v>3.78</v>
      </c>
      <c r="AB638">
        <v>2.33</v>
      </c>
      <c r="AC638">
        <v>2.34</v>
      </c>
      <c r="AD638">
        <v>1.41</v>
      </c>
      <c r="AE638">
        <v>3.14</v>
      </c>
      <c r="AF638">
        <v>2.2850000000000001</v>
      </c>
      <c r="AG638" t="str">
        <f>HYPERLINK("https://finance.naver.com/item/fchart.naver?code=145020", "휴젤 차트보기")</f>
        <v>휴젤 차트보기</v>
      </c>
    </row>
    <row r="639" spans="1:33" x14ac:dyDescent="0.3">
      <c r="A639" t="s">
        <v>2583</v>
      </c>
      <c r="B639" t="s">
        <v>55</v>
      </c>
      <c r="C639" t="s">
        <v>2584</v>
      </c>
      <c r="D639">
        <v>124955.43</v>
      </c>
      <c r="E639" t="s">
        <v>2585</v>
      </c>
      <c r="F639">
        <v>0</v>
      </c>
      <c r="G639">
        <v>0.6600000262260437</v>
      </c>
      <c r="H639">
        <v>0</v>
      </c>
      <c r="I639">
        <v>0</v>
      </c>
      <c r="J639" t="s">
        <v>2586</v>
      </c>
      <c r="K639">
        <v>726</v>
      </c>
      <c r="L639">
        <v>732</v>
      </c>
      <c r="M639">
        <v>0.83</v>
      </c>
      <c r="N639">
        <v>0.83</v>
      </c>
      <c r="O639">
        <v>-4.83</v>
      </c>
      <c r="P639">
        <v>5.0599999999999996</v>
      </c>
      <c r="Q639">
        <v>0.55000000000000004</v>
      </c>
      <c r="R639">
        <v>2.57</v>
      </c>
      <c r="S639">
        <v>-6.17</v>
      </c>
      <c r="T639">
        <v>1.98</v>
      </c>
      <c r="U639">
        <v>1.49</v>
      </c>
      <c r="V639">
        <v>1.99</v>
      </c>
      <c r="W639">
        <v>2.46</v>
      </c>
      <c r="X639">
        <v>1.88</v>
      </c>
      <c r="Y639">
        <v>1.04</v>
      </c>
      <c r="Z639">
        <v>0.42</v>
      </c>
      <c r="AA639">
        <v>3.24</v>
      </c>
      <c r="AB639">
        <v>2.54</v>
      </c>
      <c r="AC639">
        <v>0.22</v>
      </c>
      <c r="AD639">
        <v>1.37</v>
      </c>
      <c r="AE639">
        <v>5.93</v>
      </c>
      <c r="AF639">
        <v>2.2866666666666671</v>
      </c>
      <c r="AG639" t="str">
        <f>HYPERLINK("https://finance.naver.com/item/fchart.naver?code=115480", "씨유메디칼 차트보기")</f>
        <v>씨유메디칼 차트보기</v>
      </c>
    </row>
    <row r="640" spans="1:33" x14ac:dyDescent="0.3">
      <c r="A640" t="s">
        <v>2587</v>
      </c>
      <c r="B640" t="s">
        <v>34</v>
      </c>
      <c r="C640" t="s">
        <v>2588</v>
      </c>
      <c r="D640">
        <v>4650.8999999999996</v>
      </c>
      <c r="E640" t="s">
        <v>2589</v>
      </c>
      <c r="F640">
        <v>0</v>
      </c>
      <c r="G640">
        <v>0</v>
      </c>
      <c r="H640">
        <v>0</v>
      </c>
      <c r="I640">
        <v>2.0499999523162842</v>
      </c>
      <c r="J640" t="s">
        <v>2590</v>
      </c>
      <c r="K640">
        <v>22450</v>
      </c>
      <c r="L640">
        <v>17100</v>
      </c>
      <c r="M640">
        <v>-23.83</v>
      </c>
      <c r="N640">
        <v>-10.66</v>
      </c>
      <c r="O640">
        <v>-7.75</v>
      </c>
      <c r="P640">
        <v>0.23</v>
      </c>
      <c r="Q640">
        <v>-3.98</v>
      </c>
      <c r="R640">
        <v>0.46</v>
      </c>
      <c r="S640">
        <v>-8.4499999999999993</v>
      </c>
      <c r="T640">
        <v>3.63</v>
      </c>
      <c r="U640">
        <v>1.43</v>
      </c>
      <c r="V640">
        <v>2.2999999999999998</v>
      </c>
      <c r="W640">
        <v>3.97</v>
      </c>
      <c r="X640">
        <v>1.37</v>
      </c>
      <c r="Y640">
        <v>2.15</v>
      </c>
      <c r="Z640">
        <v>2.94</v>
      </c>
      <c r="AA640">
        <v>5.42</v>
      </c>
      <c r="AB640">
        <v>0.1</v>
      </c>
      <c r="AC640">
        <v>1</v>
      </c>
      <c r="AD640">
        <v>0.34</v>
      </c>
      <c r="AE640">
        <v>3.93</v>
      </c>
      <c r="AF640">
        <v>2.2883333333333331</v>
      </c>
      <c r="AG640" t="str">
        <f>HYPERLINK("https://finance.naver.com/item/fchart.naver?code=009835", "한화솔루션우 차트보기")</f>
        <v>한화솔루션우 차트보기</v>
      </c>
    </row>
    <row r="641" spans="1:33" x14ac:dyDescent="0.3">
      <c r="A641" t="s">
        <v>2591</v>
      </c>
      <c r="B641" t="s">
        <v>55</v>
      </c>
      <c r="C641" t="s">
        <v>2592</v>
      </c>
      <c r="D641">
        <v>655397.62</v>
      </c>
      <c r="E641" t="s">
        <v>2593</v>
      </c>
      <c r="F641">
        <v>0</v>
      </c>
      <c r="G641">
        <v>1.070000052452087</v>
      </c>
      <c r="H641">
        <v>0</v>
      </c>
      <c r="I641">
        <v>0</v>
      </c>
      <c r="J641" t="s">
        <v>2594</v>
      </c>
      <c r="K641">
        <v>8860</v>
      </c>
      <c r="L641">
        <v>7420</v>
      </c>
      <c r="M641">
        <v>-16.25</v>
      </c>
      <c r="N641">
        <v>0.54</v>
      </c>
      <c r="O641">
        <v>10.66</v>
      </c>
      <c r="P641">
        <v>6.48</v>
      </c>
      <c r="Q641">
        <v>-19.07</v>
      </c>
      <c r="R641">
        <v>-1.75</v>
      </c>
      <c r="S641">
        <v>-7.07</v>
      </c>
      <c r="T641">
        <v>3.36</v>
      </c>
      <c r="U641">
        <v>5.42</v>
      </c>
      <c r="V641">
        <v>5.66</v>
      </c>
      <c r="W641">
        <v>4.01</v>
      </c>
      <c r="X641">
        <v>3.24</v>
      </c>
      <c r="Y641">
        <v>1.37</v>
      </c>
      <c r="Z641">
        <v>0.16</v>
      </c>
      <c r="AA641">
        <v>1.97</v>
      </c>
      <c r="AB641">
        <v>1.1399999999999999</v>
      </c>
      <c r="AC641">
        <v>4.76</v>
      </c>
      <c r="AD641">
        <v>0.54</v>
      </c>
      <c r="AE641">
        <v>5.16</v>
      </c>
      <c r="AF641">
        <v>2.288333333333334</v>
      </c>
      <c r="AG641" t="str">
        <f>HYPERLINK("https://finance.naver.com/item/fchart.naver?code=063170", "서울옥션 차트보기")</f>
        <v>서울옥션 차트보기</v>
      </c>
    </row>
    <row r="642" spans="1:33" x14ac:dyDescent="0.3">
      <c r="A642" t="s">
        <v>2595</v>
      </c>
      <c r="B642" t="s">
        <v>34</v>
      </c>
      <c r="C642" t="s">
        <v>2596</v>
      </c>
      <c r="D642">
        <v>51664.05</v>
      </c>
      <c r="E642" t="s">
        <v>2597</v>
      </c>
      <c r="F642">
        <v>6.64</v>
      </c>
      <c r="G642">
        <v>0.40000000596046448</v>
      </c>
      <c r="H642">
        <v>1001</v>
      </c>
      <c r="I642">
        <v>1.7300000190734861</v>
      </c>
      <c r="J642" t="s">
        <v>2598</v>
      </c>
      <c r="K642">
        <v>8320</v>
      </c>
      <c r="L642">
        <v>6650</v>
      </c>
      <c r="M642">
        <v>-20.07</v>
      </c>
      <c r="N642">
        <v>-0.3</v>
      </c>
      <c r="O642">
        <v>-6.38</v>
      </c>
      <c r="P642">
        <v>-5.66</v>
      </c>
      <c r="Q642">
        <v>-4.47</v>
      </c>
      <c r="R642">
        <v>-0.39</v>
      </c>
      <c r="S642">
        <v>-4.42</v>
      </c>
      <c r="T642">
        <v>1.21</v>
      </c>
      <c r="U642">
        <v>1.92</v>
      </c>
      <c r="V642">
        <v>1.94</v>
      </c>
      <c r="W642">
        <v>2.52</v>
      </c>
      <c r="X642">
        <v>1.39</v>
      </c>
      <c r="Y642">
        <v>0.85</v>
      </c>
      <c r="Z642">
        <v>0.25</v>
      </c>
      <c r="AA642">
        <v>3.32</v>
      </c>
      <c r="AB642">
        <v>2.92</v>
      </c>
      <c r="AC642">
        <v>1.77</v>
      </c>
      <c r="AD642">
        <v>0.28000000000000003</v>
      </c>
      <c r="AE642">
        <v>5.2</v>
      </c>
      <c r="AF642">
        <v>2.29</v>
      </c>
      <c r="AG642" t="str">
        <f>HYPERLINK("https://finance.naver.com/item/fchart.naver?code=002350", "넥센타이어 차트보기")</f>
        <v>넥센타이어 차트보기</v>
      </c>
    </row>
    <row r="643" spans="1:33" x14ac:dyDescent="0.3">
      <c r="A643" t="s">
        <v>2599</v>
      </c>
      <c r="B643" t="s">
        <v>55</v>
      </c>
      <c r="C643" t="s">
        <v>2600</v>
      </c>
      <c r="D643">
        <v>5597972.2400000002</v>
      </c>
      <c r="E643" t="s">
        <v>2601</v>
      </c>
      <c r="F643">
        <v>0</v>
      </c>
      <c r="G643">
        <v>0.47999998927116388</v>
      </c>
      <c r="H643">
        <v>0</v>
      </c>
      <c r="I643">
        <v>0</v>
      </c>
      <c r="J643" t="s">
        <v>2602</v>
      </c>
      <c r="K643">
        <v>836</v>
      </c>
      <c r="L643">
        <v>855</v>
      </c>
      <c r="M643">
        <v>2.27</v>
      </c>
      <c r="N643">
        <v>-3.06</v>
      </c>
      <c r="O643">
        <v>-11.98</v>
      </c>
      <c r="P643">
        <v>-12.56</v>
      </c>
      <c r="Q643">
        <v>-15.19</v>
      </c>
      <c r="R643">
        <v>21.1</v>
      </c>
      <c r="S643">
        <v>-1.93</v>
      </c>
      <c r="T643">
        <v>15.03</v>
      </c>
      <c r="U643">
        <v>3.55</v>
      </c>
      <c r="V643">
        <v>4.0199999999999996</v>
      </c>
      <c r="W643">
        <v>5.82</v>
      </c>
      <c r="X643">
        <v>6.03</v>
      </c>
      <c r="Y643">
        <v>2.0499999999999998</v>
      </c>
      <c r="Z643">
        <v>0.2</v>
      </c>
      <c r="AA643">
        <v>3.37</v>
      </c>
      <c r="AB643">
        <v>3.12</v>
      </c>
      <c r="AC643">
        <v>2.61</v>
      </c>
      <c r="AD643">
        <v>3.5</v>
      </c>
      <c r="AE643">
        <v>0.94</v>
      </c>
      <c r="AF643">
        <v>2.29</v>
      </c>
      <c r="AG643" t="str">
        <f>HYPERLINK("https://finance.naver.com/item/fchart.naver?code=053950", "경남제약 차트보기")</f>
        <v>경남제약 차트보기</v>
      </c>
    </row>
    <row r="644" spans="1:33" x14ac:dyDescent="0.3">
      <c r="A644" t="s">
        <v>2603</v>
      </c>
      <c r="B644" t="s">
        <v>55</v>
      </c>
      <c r="C644" t="s">
        <v>2604</v>
      </c>
      <c r="D644">
        <v>59749.81</v>
      </c>
      <c r="E644" t="s">
        <v>2605</v>
      </c>
      <c r="F644">
        <v>108.91</v>
      </c>
      <c r="G644">
        <v>1.870000004768372</v>
      </c>
      <c r="H644">
        <v>101</v>
      </c>
      <c r="I644">
        <v>0</v>
      </c>
      <c r="J644" t="s">
        <v>2606</v>
      </c>
      <c r="K644">
        <v>18660</v>
      </c>
      <c r="L644">
        <v>11000</v>
      </c>
      <c r="M644">
        <v>-41.05</v>
      </c>
      <c r="N644">
        <v>-10.71</v>
      </c>
      <c r="O644">
        <v>-4.47</v>
      </c>
      <c r="P644">
        <v>-3.16</v>
      </c>
      <c r="Q644">
        <v>-5.76</v>
      </c>
      <c r="R644">
        <v>-13.54</v>
      </c>
      <c r="S644">
        <v>1.33</v>
      </c>
      <c r="T644">
        <v>2.64</v>
      </c>
      <c r="U644">
        <v>3.05</v>
      </c>
      <c r="V644">
        <v>6.32</v>
      </c>
      <c r="W644">
        <v>4.51</v>
      </c>
      <c r="X644">
        <v>2.35</v>
      </c>
      <c r="Y644">
        <v>1.95</v>
      </c>
      <c r="Z644">
        <v>4.0599999999999996</v>
      </c>
      <c r="AA644">
        <v>1.47</v>
      </c>
      <c r="AB644">
        <v>0.5</v>
      </c>
      <c r="AC644">
        <v>1.28</v>
      </c>
      <c r="AD644">
        <v>5.76</v>
      </c>
      <c r="AE644">
        <v>0.68</v>
      </c>
      <c r="AF644">
        <v>2.291666666666667</v>
      </c>
      <c r="AG644" t="str">
        <f>HYPERLINK("https://finance.naver.com/item/fchart.naver?code=146320", "비씨엔씨 차트보기")</f>
        <v>비씨엔씨 차트보기</v>
      </c>
    </row>
    <row r="645" spans="1:33" x14ac:dyDescent="0.3">
      <c r="A645" t="s">
        <v>2607</v>
      </c>
      <c r="B645" t="s">
        <v>55</v>
      </c>
      <c r="C645" t="s">
        <v>2608</v>
      </c>
      <c r="D645">
        <v>13056.29</v>
      </c>
      <c r="E645" t="s">
        <v>2609</v>
      </c>
      <c r="F645">
        <v>0</v>
      </c>
      <c r="G645">
        <v>0</v>
      </c>
      <c r="H645">
        <v>0</v>
      </c>
      <c r="I645">
        <v>0</v>
      </c>
      <c r="J645" t="s">
        <v>2610</v>
      </c>
      <c r="K645">
        <v>1977</v>
      </c>
      <c r="L645">
        <v>2025</v>
      </c>
      <c r="M645">
        <v>2.4300000000000002</v>
      </c>
      <c r="N645">
        <v>0</v>
      </c>
      <c r="O645">
        <v>0.75</v>
      </c>
      <c r="P645">
        <v>-0.5</v>
      </c>
      <c r="Q645">
        <v>-0.97</v>
      </c>
      <c r="R645">
        <v>2.35</v>
      </c>
      <c r="S645">
        <v>1.1599999999999999</v>
      </c>
      <c r="T645">
        <v>0.36</v>
      </c>
      <c r="U645">
        <v>0.39</v>
      </c>
      <c r="V645">
        <v>0.41</v>
      </c>
      <c r="W645">
        <v>0.59</v>
      </c>
      <c r="X645">
        <v>0.54</v>
      </c>
      <c r="Y645">
        <v>0.25</v>
      </c>
      <c r="Z645">
        <v>0</v>
      </c>
      <c r="AA645">
        <v>1.92</v>
      </c>
      <c r="AB645">
        <v>1.22</v>
      </c>
      <c r="AC645">
        <v>1.64</v>
      </c>
      <c r="AD645">
        <v>4.3499999999999996</v>
      </c>
      <c r="AE645">
        <v>4.6399999999999997</v>
      </c>
      <c r="AF645">
        <v>2.2949999999999999</v>
      </c>
      <c r="AG645" t="str">
        <f>HYPERLINK("https://finance.naver.com/item/fchart.naver?code=478440", "미래에셋비전스팩6호 차트보기")</f>
        <v>미래에셋비전스팩6호 차트보기</v>
      </c>
    </row>
    <row r="646" spans="1:33" x14ac:dyDescent="0.3">
      <c r="A646" t="s">
        <v>2611</v>
      </c>
      <c r="B646" t="s">
        <v>34</v>
      </c>
      <c r="C646" t="s">
        <v>2612</v>
      </c>
      <c r="D646">
        <v>315.33</v>
      </c>
      <c r="E646" t="s">
        <v>2613</v>
      </c>
      <c r="F646">
        <v>0</v>
      </c>
      <c r="G646">
        <v>0</v>
      </c>
      <c r="H646">
        <v>0</v>
      </c>
      <c r="I646">
        <v>0</v>
      </c>
      <c r="J646" t="s">
        <v>2614</v>
      </c>
      <c r="K646">
        <v>24250</v>
      </c>
      <c r="L646">
        <v>17600</v>
      </c>
      <c r="M646">
        <v>-27.42</v>
      </c>
      <c r="N646">
        <v>-1.57</v>
      </c>
      <c r="O646">
        <v>1.88</v>
      </c>
      <c r="P646">
        <v>-7.55</v>
      </c>
      <c r="Q646">
        <v>-9.7100000000000009</v>
      </c>
      <c r="R646">
        <v>-3.96</v>
      </c>
      <c r="S646">
        <v>-8.5500000000000007</v>
      </c>
      <c r="T646">
        <v>1.66</v>
      </c>
      <c r="U646">
        <v>1.38</v>
      </c>
      <c r="V646">
        <v>2.54</v>
      </c>
      <c r="W646">
        <v>2.12</v>
      </c>
      <c r="X646">
        <v>1.74</v>
      </c>
      <c r="Y646">
        <v>5.26</v>
      </c>
      <c r="Z646">
        <v>0.95</v>
      </c>
      <c r="AA646">
        <v>1.36</v>
      </c>
      <c r="AB646">
        <v>2.97</v>
      </c>
      <c r="AC646">
        <v>4.58</v>
      </c>
      <c r="AD646">
        <v>2.2799999999999998</v>
      </c>
      <c r="AE646">
        <v>1.63</v>
      </c>
      <c r="AF646">
        <v>2.2949999999999999</v>
      </c>
      <c r="AG646" t="str">
        <f>HYPERLINK("https://finance.naver.com/item/fchart.naver?code=011155", "CJ씨푸드1우 차트보기")</f>
        <v>CJ씨푸드1우 차트보기</v>
      </c>
    </row>
    <row r="647" spans="1:33" x14ac:dyDescent="0.3">
      <c r="A647" t="s">
        <v>2615</v>
      </c>
      <c r="B647" t="s">
        <v>34</v>
      </c>
      <c r="C647" t="s">
        <v>2616</v>
      </c>
      <c r="D647">
        <v>37808.14</v>
      </c>
      <c r="E647" t="s">
        <v>2617</v>
      </c>
      <c r="F647">
        <v>17.91</v>
      </c>
      <c r="G647">
        <v>0.37999999523162842</v>
      </c>
      <c r="H647">
        <v>364</v>
      </c>
      <c r="I647">
        <v>6.130000114440918</v>
      </c>
      <c r="J647" t="s">
        <v>2618</v>
      </c>
      <c r="K647">
        <v>6290</v>
      </c>
      <c r="L647">
        <v>6520</v>
      </c>
      <c r="M647">
        <v>3.66</v>
      </c>
      <c r="N647">
        <v>5.16</v>
      </c>
      <c r="O647">
        <v>0.97</v>
      </c>
      <c r="P647">
        <v>-0.8</v>
      </c>
      <c r="Q647">
        <v>-2.97</v>
      </c>
      <c r="R647">
        <v>-1.08</v>
      </c>
      <c r="S647">
        <v>1.24</v>
      </c>
      <c r="T647">
        <v>1.59</v>
      </c>
      <c r="U647">
        <v>0.44</v>
      </c>
      <c r="V647">
        <v>0.63</v>
      </c>
      <c r="W647">
        <v>1.1399999999999999</v>
      </c>
      <c r="X647">
        <v>0.41</v>
      </c>
      <c r="Y647">
        <v>0.68</v>
      </c>
      <c r="Z647">
        <v>3.25</v>
      </c>
      <c r="AA647">
        <v>2.2000000000000002</v>
      </c>
      <c r="AB647">
        <v>1.27</v>
      </c>
      <c r="AC647">
        <v>2.61</v>
      </c>
      <c r="AD647">
        <v>2.63</v>
      </c>
      <c r="AE647">
        <v>1.82</v>
      </c>
      <c r="AF647">
        <v>2.2966666666666669</v>
      </c>
      <c r="AG647" t="str">
        <f>HYPERLINK("https://finance.naver.com/item/fchart.naver?code=008060", "대덕 차트보기")</f>
        <v>대덕 차트보기</v>
      </c>
    </row>
    <row r="648" spans="1:33" x14ac:dyDescent="0.3">
      <c r="A648" t="s">
        <v>2619</v>
      </c>
      <c r="B648" t="s">
        <v>34</v>
      </c>
      <c r="C648" t="s">
        <v>2620</v>
      </c>
      <c r="D648">
        <v>63690.33</v>
      </c>
      <c r="E648" t="s">
        <v>2621</v>
      </c>
      <c r="F648">
        <v>19.12</v>
      </c>
      <c r="G648">
        <v>0.20000000298023221</v>
      </c>
      <c r="H648">
        <v>339</v>
      </c>
      <c r="I648">
        <v>1.5399999618530269</v>
      </c>
      <c r="J648" t="s">
        <v>2622</v>
      </c>
      <c r="K648">
        <v>7700</v>
      </c>
      <c r="L648">
        <v>6480</v>
      </c>
      <c r="M648">
        <v>-15.84</v>
      </c>
      <c r="N648">
        <v>1.41</v>
      </c>
      <c r="O648">
        <v>0.16</v>
      </c>
      <c r="P648">
        <v>-13.11</v>
      </c>
      <c r="Q648">
        <v>-0.13</v>
      </c>
      <c r="R648">
        <v>9.41</v>
      </c>
      <c r="S648">
        <v>-2.81</v>
      </c>
      <c r="T648">
        <v>1.56</v>
      </c>
      <c r="U648">
        <v>1.81</v>
      </c>
      <c r="V648">
        <v>2.09</v>
      </c>
      <c r="W648">
        <v>3.7</v>
      </c>
      <c r="X648">
        <v>2.2200000000000002</v>
      </c>
      <c r="Y648">
        <v>1.25</v>
      </c>
      <c r="Z648">
        <v>0.9</v>
      </c>
      <c r="AA648">
        <v>0.09</v>
      </c>
      <c r="AB648">
        <v>6.27</v>
      </c>
      <c r="AC648">
        <v>0.04</v>
      </c>
      <c r="AD648">
        <v>4.24</v>
      </c>
      <c r="AE648">
        <v>2.25</v>
      </c>
      <c r="AF648">
        <v>2.2983333333333329</v>
      </c>
      <c r="AG648" t="str">
        <f>HYPERLINK("https://finance.naver.com/item/fchart.naver?code=460850", "동국씨엠 차트보기")</f>
        <v>동국씨엠 차트보기</v>
      </c>
    </row>
    <row r="649" spans="1:33" x14ac:dyDescent="0.3">
      <c r="A649" t="s">
        <v>2623</v>
      </c>
      <c r="B649" t="s">
        <v>34</v>
      </c>
      <c r="C649" t="s">
        <v>2624</v>
      </c>
      <c r="D649">
        <v>300260.33</v>
      </c>
      <c r="E649" t="s">
        <v>2625</v>
      </c>
      <c r="F649">
        <v>3.26</v>
      </c>
      <c r="G649">
        <v>0.23000000417232511</v>
      </c>
      <c r="H649">
        <v>1465</v>
      </c>
      <c r="I649">
        <v>4.179999828338623</v>
      </c>
      <c r="J649" t="s">
        <v>2626</v>
      </c>
      <c r="K649">
        <v>5230</v>
      </c>
      <c r="L649">
        <v>4780</v>
      </c>
      <c r="M649">
        <v>-8.6</v>
      </c>
      <c r="N649">
        <v>0.42</v>
      </c>
      <c r="O649">
        <v>-2.15</v>
      </c>
      <c r="P649">
        <v>-13.3</v>
      </c>
      <c r="Q649">
        <v>1.74</v>
      </c>
      <c r="R649">
        <v>13.11</v>
      </c>
      <c r="S649">
        <v>2.25</v>
      </c>
      <c r="T649">
        <v>1.1299999999999999</v>
      </c>
      <c r="U649">
        <v>2.65</v>
      </c>
      <c r="V649">
        <v>2.36</v>
      </c>
      <c r="W649">
        <v>4.25</v>
      </c>
      <c r="X649">
        <v>2.4700000000000002</v>
      </c>
      <c r="Y649">
        <v>1.8</v>
      </c>
      <c r="Z649">
        <v>0.37</v>
      </c>
      <c r="AA649">
        <v>0.81</v>
      </c>
      <c r="AB649">
        <v>5.64</v>
      </c>
      <c r="AC649">
        <v>0.41</v>
      </c>
      <c r="AD649">
        <v>5.31</v>
      </c>
      <c r="AE649">
        <v>1.25</v>
      </c>
      <c r="AF649">
        <v>2.2983333333333329</v>
      </c>
      <c r="AG649" t="str">
        <f>HYPERLINK("https://finance.naver.com/item/fchart.naver?code=000370", "한화손해보험 차트보기")</f>
        <v>한화손해보험 차트보기</v>
      </c>
    </row>
    <row r="650" spans="1:33" x14ac:dyDescent="0.3">
      <c r="A650" t="s">
        <v>2627</v>
      </c>
      <c r="B650" t="s">
        <v>55</v>
      </c>
      <c r="C650" t="s">
        <v>2628</v>
      </c>
      <c r="D650">
        <v>186705.1</v>
      </c>
      <c r="E650" t="s">
        <v>2629</v>
      </c>
      <c r="F650">
        <v>0</v>
      </c>
      <c r="G650">
        <v>2.470000028610229</v>
      </c>
      <c r="H650">
        <v>0</v>
      </c>
      <c r="I650">
        <v>0</v>
      </c>
      <c r="J650" t="s">
        <v>2630</v>
      </c>
      <c r="K650">
        <v>30850</v>
      </c>
      <c r="L650">
        <v>21400</v>
      </c>
      <c r="M650">
        <v>-30.63</v>
      </c>
      <c r="N650">
        <v>-7.36</v>
      </c>
      <c r="O650">
        <v>-11.83</v>
      </c>
      <c r="P650">
        <v>-1.08</v>
      </c>
      <c r="Q650">
        <v>-15.88</v>
      </c>
      <c r="R650">
        <v>5.16</v>
      </c>
      <c r="S650">
        <v>-6.22</v>
      </c>
      <c r="T650">
        <v>2.82</v>
      </c>
      <c r="U650">
        <v>2.68</v>
      </c>
      <c r="V650">
        <v>2.44</v>
      </c>
      <c r="W650">
        <v>4.55</v>
      </c>
      <c r="X650">
        <v>7.35</v>
      </c>
      <c r="Y650">
        <v>2.89</v>
      </c>
      <c r="Z650">
        <v>2.61</v>
      </c>
      <c r="AA650">
        <v>4.41</v>
      </c>
      <c r="AB650">
        <v>0.44</v>
      </c>
      <c r="AC650">
        <v>3.49</v>
      </c>
      <c r="AD650">
        <v>0.7</v>
      </c>
      <c r="AE650">
        <v>2.15</v>
      </c>
      <c r="AF650">
        <v>2.2999999999999998</v>
      </c>
      <c r="AG650" t="str">
        <f>HYPERLINK("https://finance.naver.com/item/fchart.naver?code=064550", "바이오니아 차트보기")</f>
        <v>바이오니아 차트보기</v>
      </c>
    </row>
    <row r="651" spans="1:33" x14ac:dyDescent="0.3">
      <c r="A651" t="s">
        <v>2631</v>
      </c>
      <c r="B651" t="s">
        <v>34</v>
      </c>
      <c r="C651" t="s">
        <v>2632</v>
      </c>
      <c r="D651">
        <v>113708.57</v>
      </c>
      <c r="E651" t="s">
        <v>2633</v>
      </c>
      <c r="F651">
        <v>2.92</v>
      </c>
      <c r="G651">
        <v>1.4800000190734861</v>
      </c>
      <c r="H651">
        <v>811</v>
      </c>
      <c r="I651">
        <v>0</v>
      </c>
      <c r="J651" t="s">
        <v>2634</v>
      </c>
      <c r="K651">
        <v>2800</v>
      </c>
      <c r="L651">
        <v>2370</v>
      </c>
      <c r="M651">
        <v>-15.36</v>
      </c>
      <c r="N651">
        <v>1.72</v>
      </c>
      <c r="O651">
        <v>-0.42</v>
      </c>
      <c r="P651">
        <v>-1.63</v>
      </c>
      <c r="Q651">
        <v>-1.41</v>
      </c>
      <c r="R651">
        <v>-11.09</v>
      </c>
      <c r="S651">
        <v>-0.92</v>
      </c>
      <c r="T651">
        <v>1.51</v>
      </c>
      <c r="U651">
        <v>1.19</v>
      </c>
      <c r="V651">
        <v>1.4</v>
      </c>
      <c r="W651">
        <v>2.41</v>
      </c>
      <c r="X651">
        <v>1.1200000000000001</v>
      </c>
      <c r="Y651">
        <v>1.4</v>
      </c>
      <c r="Z651">
        <v>1.1399999999999999</v>
      </c>
      <c r="AA651">
        <v>0.35</v>
      </c>
      <c r="AB651">
        <v>1.1599999999999999</v>
      </c>
      <c r="AC651">
        <v>0.59</v>
      </c>
      <c r="AD651">
        <v>9.9</v>
      </c>
      <c r="AE651">
        <v>0.66</v>
      </c>
      <c r="AF651">
        <v>2.2999999999999998</v>
      </c>
      <c r="AG651" t="str">
        <f>HYPERLINK("https://finance.naver.com/item/fchart.naver?code=298690", "에어부산 차트보기")</f>
        <v>에어부산 차트보기</v>
      </c>
    </row>
    <row r="652" spans="1:33" x14ac:dyDescent="0.3">
      <c r="A652" t="s">
        <v>2635</v>
      </c>
      <c r="B652" t="s">
        <v>55</v>
      </c>
      <c r="C652" t="s">
        <v>2636</v>
      </c>
      <c r="D652">
        <v>82595</v>
      </c>
      <c r="E652" t="s">
        <v>2637</v>
      </c>
      <c r="F652">
        <v>0</v>
      </c>
      <c r="G652">
        <v>7.6500000953674316</v>
      </c>
      <c r="H652">
        <v>0</v>
      </c>
      <c r="I652">
        <v>0</v>
      </c>
      <c r="J652" t="s">
        <v>2638</v>
      </c>
      <c r="K652">
        <v>25250</v>
      </c>
      <c r="L652">
        <v>29850</v>
      </c>
      <c r="M652">
        <v>18.22</v>
      </c>
      <c r="N652">
        <v>-2.29</v>
      </c>
      <c r="O652">
        <v>-11.47</v>
      </c>
      <c r="P652">
        <v>26.15</v>
      </c>
      <c r="Q652">
        <v>1.3</v>
      </c>
      <c r="R652">
        <v>-5.25</v>
      </c>
      <c r="S652">
        <v>-2.5</v>
      </c>
      <c r="T652">
        <v>4.16</v>
      </c>
      <c r="U652">
        <v>3.44</v>
      </c>
      <c r="V652">
        <v>3.68</v>
      </c>
      <c r="W652">
        <v>3.27</v>
      </c>
      <c r="X652">
        <v>2.75</v>
      </c>
      <c r="Y652">
        <v>5</v>
      </c>
      <c r="Z652">
        <v>0.55000000000000004</v>
      </c>
      <c r="AA652">
        <v>3.33</v>
      </c>
      <c r="AB652">
        <v>7.11</v>
      </c>
      <c r="AC652">
        <v>0.4</v>
      </c>
      <c r="AD652">
        <v>1.91</v>
      </c>
      <c r="AE652">
        <v>0.5</v>
      </c>
      <c r="AF652">
        <v>2.2999999999999998</v>
      </c>
      <c r="AG652" t="str">
        <f>HYPERLINK("https://finance.naver.com/item/fchart.naver?code=388720", "유일로보틱스 차트보기")</f>
        <v>유일로보틱스 차트보기</v>
      </c>
    </row>
    <row r="653" spans="1:33" x14ac:dyDescent="0.3">
      <c r="A653" t="s">
        <v>2639</v>
      </c>
      <c r="B653" t="s">
        <v>34</v>
      </c>
      <c r="C653" t="s">
        <v>2640</v>
      </c>
      <c r="D653">
        <v>49891.67</v>
      </c>
      <c r="E653" t="s">
        <v>2641</v>
      </c>
      <c r="F653">
        <v>11.09</v>
      </c>
      <c r="G653">
        <v>0.8399999737739563</v>
      </c>
      <c r="H653">
        <v>623</v>
      </c>
      <c r="I653">
        <v>4.0500001907348633</v>
      </c>
      <c r="J653" t="s">
        <v>2642</v>
      </c>
      <c r="K653">
        <v>7460</v>
      </c>
      <c r="L653">
        <v>6910</v>
      </c>
      <c r="M653">
        <v>-7.37</v>
      </c>
      <c r="N653">
        <v>4.8600000000000003</v>
      </c>
      <c r="O653">
        <v>-0.45</v>
      </c>
      <c r="P653">
        <v>-3.56</v>
      </c>
      <c r="Q653">
        <v>-10.24</v>
      </c>
      <c r="R653">
        <v>2.2200000000000002</v>
      </c>
      <c r="S653">
        <v>-2.29</v>
      </c>
      <c r="T653">
        <v>2.27</v>
      </c>
      <c r="U653">
        <v>0.89</v>
      </c>
      <c r="V653">
        <v>0.85</v>
      </c>
      <c r="W653">
        <v>2.87</v>
      </c>
      <c r="X653">
        <v>1.41</v>
      </c>
      <c r="Y653">
        <v>1.25</v>
      </c>
      <c r="Z653">
        <v>2.14</v>
      </c>
      <c r="AA653">
        <v>0.51</v>
      </c>
      <c r="AB653">
        <v>4.1900000000000004</v>
      </c>
      <c r="AC653">
        <v>3.57</v>
      </c>
      <c r="AD653">
        <v>1.57</v>
      </c>
      <c r="AE653">
        <v>1.83</v>
      </c>
      <c r="AF653">
        <v>2.3016666666666672</v>
      </c>
      <c r="AG653" t="str">
        <f>HYPERLINK("https://finance.naver.com/item/fchart.naver?code=002150", "도화엔지니어링 차트보기")</f>
        <v>도화엔지니어링 차트보기</v>
      </c>
    </row>
    <row r="654" spans="1:33" x14ac:dyDescent="0.3">
      <c r="A654" t="s">
        <v>2643</v>
      </c>
      <c r="B654" t="s">
        <v>55</v>
      </c>
      <c r="C654" t="s">
        <v>2644</v>
      </c>
      <c r="D654">
        <v>24792.05</v>
      </c>
      <c r="E654" t="s">
        <v>2645</v>
      </c>
      <c r="F654">
        <v>7.71</v>
      </c>
      <c r="G654">
        <v>0.68000000715255737</v>
      </c>
      <c r="H654">
        <v>557</v>
      </c>
      <c r="I654">
        <v>0.57999998331069946</v>
      </c>
      <c r="J654" t="s">
        <v>2646</v>
      </c>
      <c r="K654">
        <v>6140</v>
      </c>
      <c r="L654">
        <v>4295</v>
      </c>
      <c r="M654">
        <v>-30.05</v>
      </c>
      <c r="N654">
        <v>-3.91</v>
      </c>
      <c r="O654">
        <v>-8.19</v>
      </c>
      <c r="P654">
        <v>-1.92</v>
      </c>
      <c r="Q654">
        <v>-13.91</v>
      </c>
      <c r="R654">
        <v>-2.97</v>
      </c>
      <c r="S654">
        <v>-4.6100000000000003</v>
      </c>
      <c r="T654">
        <v>2.68</v>
      </c>
      <c r="U654">
        <v>1.59</v>
      </c>
      <c r="V654">
        <v>1.93</v>
      </c>
      <c r="W654">
        <v>4.24</v>
      </c>
      <c r="X654">
        <v>1.99</v>
      </c>
      <c r="Y654">
        <v>3.14</v>
      </c>
      <c r="Z654">
        <v>1.46</v>
      </c>
      <c r="AA654">
        <v>5.15</v>
      </c>
      <c r="AB654">
        <v>0.99</v>
      </c>
      <c r="AC654">
        <v>3.28</v>
      </c>
      <c r="AD654">
        <v>1.49</v>
      </c>
      <c r="AE654">
        <v>1.47</v>
      </c>
      <c r="AF654">
        <v>2.3066666666666671</v>
      </c>
      <c r="AG654" t="str">
        <f>HYPERLINK("https://finance.naver.com/item/fchart.naver?code=041920", "메디아나 차트보기")</f>
        <v>메디아나 차트보기</v>
      </c>
    </row>
    <row r="655" spans="1:33" x14ac:dyDescent="0.3">
      <c r="A655" t="s">
        <v>2647</v>
      </c>
      <c r="B655" t="s">
        <v>34</v>
      </c>
      <c r="C655" t="s">
        <v>2648</v>
      </c>
      <c r="D655">
        <v>310621.52</v>
      </c>
      <c r="E655" t="s">
        <v>2649</v>
      </c>
      <c r="F655">
        <v>23.52</v>
      </c>
      <c r="G655">
        <v>2.8299999237060551</v>
      </c>
      <c r="H655">
        <v>7012</v>
      </c>
      <c r="I655">
        <v>1.700000047683716</v>
      </c>
      <c r="J655" t="s">
        <v>2650</v>
      </c>
      <c r="K655">
        <v>197100</v>
      </c>
      <c r="L655">
        <v>164900</v>
      </c>
      <c r="M655">
        <v>-16.34</v>
      </c>
      <c r="N655">
        <v>15.56</v>
      </c>
      <c r="O655">
        <v>-7.35</v>
      </c>
      <c r="P655">
        <v>7.65</v>
      </c>
      <c r="Q655">
        <v>-9.8800000000000008</v>
      </c>
      <c r="R655">
        <v>-10.02</v>
      </c>
      <c r="S655">
        <v>3.52</v>
      </c>
      <c r="T655">
        <v>3.24</v>
      </c>
      <c r="U655">
        <v>3.33</v>
      </c>
      <c r="V655">
        <v>4.05</v>
      </c>
      <c r="W655">
        <v>3.65</v>
      </c>
      <c r="X655">
        <v>6.71</v>
      </c>
      <c r="Y655">
        <v>4.71</v>
      </c>
      <c r="Z655">
        <v>4.8</v>
      </c>
      <c r="AA655">
        <v>2.21</v>
      </c>
      <c r="AB655">
        <v>1.89</v>
      </c>
      <c r="AC655">
        <v>2.71</v>
      </c>
      <c r="AD655">
        <v>1.49</v>
      </c>
      <c r="AE655">
        <v>0.75</v>
      </c>
      <c r="AF655">
        <v>2.3083333333333331</v>
      </c>
      <c r="AG655" t="str">
        <f>HYPERLINK("https://finance.naver.com/item/fchart.naver?code=010120", "LS ELECTRIC 차트보기")</f>
        <v>LS ELECTRIC 차트보기</v>
      </c>
    </row>
    <row r="656" spans="1:33" x14ac:dyDescent="0.3">
      <c r="A656" t="s">
        <v>2651</v>
      </c>
      <c r="B656" t="s">
        <v>55</v>
      </c>
      <c r="C656" t="s">
        <v>2652</v>
      </c>
      <c r="D656">
        <v>269312</v>
      </c>
      <c r="E656" t="s">
        <v>2653</v>
      </c>
      <c r="F656">
        <v>9.23</v>
      </c>
      <c r="G656">
        <v>0.79000002145767212</v>
      </c>
      <c r="H656">
        <v>84</v>
      </c>
      <c r="I656">
        <v>0</v>
      </c>
      <c r="J656" t="s">
        <v>2654</v>
      </c>
      <c r="K656">
        <v>1060</v>
      </c>
      <c r="L656">
        <v>775</v>
      </c>
      <c r="M656">
        <v>-26.89</v>
      </c>
      <c r="N656">
        <v>-0.77</v>
      </c>
      <c r="O656">
        <v>-5.96</v>
      </c>
      <c r="P656">
        <v>-7.81</v>
      </c>
      <c r="Q656">
        <v>-20.51</v>
      </c>
      <c r="R656">
        <v>-0.53</v>
      </c>
      <c r="S656">
        <v>7.26</v>
      </c>
      <c r="T656">
        <v>2.35</v>
      </c>
      <c r="U656">
        <v>2.0299999999999998</v>
      </c>
      <c r="V656">
        <v>2.81</v>
      </c>
      <c r="W656">
        <v>3.91</v>
      </c>
      <c r="X656">
        <v>1.97</v>
      </c>
      <c r="Y656">
        <v>3.19</v>
      </c>
      <c r="Z656">
        <v>0.33</v>
      </c>
      <c r="AA656">
        <v>2.94</v>
      </c>
      <c r="AB656">
        <v>2.78</v>
      </c>
      <c r="AC656">
        <v>5.25</v>
      </c>
      <c r="AD656">
        <v>0.27</v>
      </c>
      <c r="AE656">
        <v>2.2799999999999998</v>
      </c>
      <c r="AF656">
        <v>2.3083333333333331</v>
      </c>
      <c r="AG656" t="str">
        <f>HYPERLINK("https://finance.naver.com/item/fchart.naver?code=353190", "휴럼 차트보기")</f>
        <v>휴럼 차트보기</v>
      </c>
    </row>
    <row r="657" spans="1:33" x14ac:dyDescent="0.3">
      <c r="A657" t="s">
        <v>2655</v>
      </c>
      <c r="B657" t="s">
        <v>55</v>
      </c>
      <c r="C657" t="s">
        <v>2656</v>
      </c>
      <c r="D657">
        <v>187680.05</v>
      </c>
      <c r="E657" t="s">
        <v>2657</v>
      </c>
      <c r="F657">
        <v>26.94</v>
      </c>
      <c r="G657">
        <v>0.94999998807907104</v>
      </c>
      <c r="H657">
        <v>90</v>
      </c>
      <c r="I657">
        <v>0</v>
      </c>
      <c r="J657" t="s">
        <v>2658</v>
      </c>
      <c r="K657">
        <v>3030</v>
      </c>
      <c r="L657">
        <v>2425</v>
      </c>
      <c r="M657">
        <v>-19.97</v>
      </c>
      <c r="N657">
        <v>-4.72</v>
      </c>
      <c r="O657">
        <v>-3.38</v>
      </c>
      <c r="P657">
        <v>-1.83</v>
      </c>
      <c r="Q657">
        <v>-13.81</v>
      </c>
      <c r="R657">
        <v>10.62</v>
      </c>
      <c r="S657">
        <v>-2.36</v>
      </c>
      <c r="T657">
        <v>2.11</v>
      </c>
      <c r="U657">
        <v>1.81</v>
      </c>
      <c r="V657">
        <v>1.39</v>
      </c>
      <c r="W657">
        <v>3.49</v>
      </c>
      <c r="X657">
        <v>3.14</v>
      </c>
      <c r="Y657">
        <v>2.1800000000000002</v>
      </c>
      <c r="Z657">
        <v>2.2400000000000002</v>
      </c>
      <c r="AA657">
        <v>1.87</v>
      </c>
      <c r="AB657">
        <v>1.32</v>
      </c>
      <c r="AC657">
        <v>3.96</v>
      </c>
      <c r="AD657">
        <v>3.38</v>
      </c>
      <c r="AE657">
        <v>1.08</v>
      </c>
      <c r="AF657">
        <v>2.3083333333333331</v>
      </c>
      <c r="AG657" t="str">
        <f>HYPERLINK("https://finance.naver.com/item/fchart.naver?code=052220", "iMBC 차트보기")</f>
        <v>iMBC 차트보기</v>
      </c>
    </row>
    <row r="658" spans="1:33" x14ac:dyDescent="0.3">
      <c r="A658" t="s">
        <v>2659</v>
      </c>
      <c r="B658" t="s">
        <v>34</v>
      </c>
      <c r="C658" t="s">
        <v>2660</v>
      </c>
      <c r="D658">
        <v>2920.71</v>
      </c>
      <c r="E658" t="s">
        <v>2661</v>
      </c>
      <c r="F658">
        <v>0</v>
      </c>
      <c r="G658">
        <v>0</v>
      </c>
      <c r="H658">
        <v>0</v>
      </c>
      <c r="I658">
        <v>2.4000000953674321</v>
      </c>
      <c r="J658" t="s">
        <v>2662</v>
      </c>
      <c r="K658">
        <v>24600</v>
      </c>
      <c r="L658">
        <v>20850</v>
      </c>
      <c r="M658">
        <v>-15.24</v>
      </c>
      <c r="N658">
        <v>-0.71</v>
      </c>
      <c r="O658">
        <v>1.2</v>
      </c>
      <c r="P658">
        <v>-5.9</v>
      </c>
      <c r="Q658">
        <v>-5.5</v>
      </c>
      <c r="R658">
        <v>2.38</v>
      </c>
      <c r="S658">
        <v>-3.77</v>
      </c>
      <c r="T658">
        <v>0.3</v>
      </c>
      <c r="U658">
        <v>1.33</v>
      </c>
      <c r="V658">
        <v>1.32</v>
      </c>
      <c r="W658">
        <v>2.64</v>
      </c>
      <c r="X658">
        <v>1.45</v>
      </c>
      <c r="Y658">
        <v>1.58</v>
      </c>
      <c r="Z658">
        <v>2.37</v>
      </c>
      <c r="AA658">
        <v>0.9</v>
      </c>
      <c r="AB658">
        <v>4.47</v>
      </c>
      <c r="AC658">
        <v>2.08</v>
      </c>
      <c r="AD658">
        <v>1.64</v>
      </c>
      <c r="AE658">
        <v>2.39</v>
      </c>
      <c r="AF658">
        <v>2.308333333333334</v>
      </c>
      <c r="AG658" t="str">
        <f>HYPERLINK("https://finance.naver.com/item/fchart.naver?code=37550L", "DL이앤씨2우(전환) 차트보기")</f>
        <v>DL이앤씨2우(전환) 차트보기</v>
      </c>
    </row>
    <row r="659" spans="1:33" x14ac:dyDescent="0.3">
      <c r="A659" t="s">
        <v>2663</v>
      </c>
      <c r="B659" t="s">
        <v>55</v>
      </c>
      <c r="C659" t="s">
        <v>2664</v>
      </c>
      <c r="D659">
        <v>19966.189999999999</v>
      </c>
      <c r="E659" t="s">
        <v>2665</v>
      </c>
      <c r="F659">
        <v>0</v>
      </c>
      <c r="G659">
        <v>0.54000002145767212</v>
      </c>
      <c r="H659">
        <v>0</v>
      </c>
      <c r="I659">
        <v>0</v>
      </c>
      <c r="J659" t="s">
        <v>2666</v>
      </c>
      <c r="K659">
        <v>2495</v>
      </c>
      <c r="L659">
        <v>2620</v>
      </c>
      <c r="M659">
        <v>5.01</v>
      </c>
      <c r="N659">
        <v>2.14</v>
      </c>
      <c r="O659">
        <v>-12.75</v>
      </c>
      <c r="P659">
        <v>7.87</v>
      </c>
      <c r="Q659">
        <v>15.09</v>
      </c>
      <c r="R659">
        <v>-3.36</v>
      </c>
      <c r="S659">
        <v>-0.21</v>
      </c>
      <c r="T659">
        <v>3.26</v>
      </c>
      <c r="U659">
        <v>2.37</v>
      </c>
      <c r="V659">
        <v>2.6</v>
      </c>
      <c r="W659">
        <v>4.42</v>
      </c>
      <c r="X659">
        <v>2.69</v>
      </c>
      <c r="Y659">
        <v>1.67</v>
      </c>
      <c r="Z659">
        <v>0.66</v>
      </c>
      <c r="AA659">
        <v>5.38</v>
      </c>
      <c r="AB659">
        <v>3.03</v>
      </c>
      <c r="AC659">
        <v>3.41</v>
      </c>
      <c r="AD659">
        <v>1.25</v>
      </c>
      <c r="AE659">
        <v>0.13</v>
      </c>
      <c r="AF659">
        <v>2.31</v>
      </c>
      <c r="AG659" t="str">
        <f>HYPERLINK("https://finance.naver.com/item/fchart.naver?code=101680", "한국정밀기계 차트보기")</f>
        <v>한국정밀기계 차트보기</v>
      </c>
    </row>
    <row r="660" spans="1:33" x14ac:dyDescent="0.3">
      <c r="A660" t="s">
        <v>2667</v>
      </c>
      <c r="B660" t="s">
        <v>55</v>
      </c>
      <c r="C660" t="s">
        <v>2668</v>
      </c>
      <c r="D660">
        <v>95782</v>
      </c>
      <c r="E660" t="s">
        <v>2669</v>
      </c>
      <c r="F660">
        <v>22.59</v>
      </c>
      <c r="G660">
        <v>1.9800000190734861</v>
      </c>
      <c r="H660">
        <v>425</v>
      </c>
      <c r="I660">
        <v>0</v>
      </c>
      <c r="J660" t="s">
        <v>2670</v>
      </c>
      <c r="K660">
        <v>13340</v>
      </c>
      <c r="L660">
        <v>9600</v>
      </c>
      <c r="M660">
        <v>-28.04</v>
      </c>
      <c r="N660">
        <v>19.25</v>
      </c>
      <c r="O660">
        <v>0</v>
      </c>
      <c r="P660">
        <v>-8.52</v>
      </c>
      <c r="Q660">
        <v>-3.1</v>
      </c>
      <c r="R660">
        <v>-15.47</v>
      </c>
      <c r="S660">
        <v>-10.99</v>
      </c>
      <c r="T660">
        <v>6.92</v>
      </c>
      <c r="U660">
        <v>2.31</v>
      </c>
      <c r="V660">
        <v>3.31</v>
      </c>
      <c r="W660">
        <v>4.4000000000000004</v>
      </c>
      <c r="X660">
        <v>5.8</v>
      </c>
      <c r="Y660">
        <v>2.14</v>
      </c>
      <c r="Z660">
        <v>2.78</v>
      </c>
      <c r="AA660">
        <v>0</v>
      </c>
      <c r="AB660">
        <v>2.57</v>
      </c>
      <c r="AC660">
        <v>0.7</v>
      </c>
      <c r="AD660">
        <v>2.67</v>
      </c>
      <c r="AE660">
        <v>5.14</v>
      </c>
      <c r="AF660">
        <v>2.31</v>
      </c>
      <c r="AG660" t="str">
        <f>HYPERLINK("https://finance.naver.com/item/fchart.naver?code=217190", "제너셈 차트보기")</f>
        <v>제너셈 차트보기</v>
      </c>
    </row>
    <row r="661" spans="1:33" x14ac:dyDescent="0.3">
      <c r="A661" t="s">
        <v>2671</v>
      </c>
      <c r="B661" t="s">
        <v>34</v>
      </c>
      <c r="C661" t="s">
        <v>2672</v>
      </c>
      <c r="D661">
        <v>125860.29</v>
      </c>
      <c r="E661" t="s">
        <v>2673</v>
      </c>
      <c r="F661">
        <v>10.39</v>
      </c>
      <c r="G661">
        <v>1.370000004768372</v>
      </c>
      <c r="H661">
        <v>9528</v>
      </c>
      <c r="I661">
        <v>1.2599999904632571</v>
      </c>
      <c r="J661" t="s">
        <v>2674</v>
      </c>
      <c r="K661">
        <v>92400</v>
      </c>
      <c r="L661">
        <v>99000</v>
      </c>
      <c r="M661">
        <v>7.14</v>
      </c>
      <c r="N661">
        <v>0.2</v>
      </c>
      <c r="O661">
        <v>4.07</v>
      </c>
      <c r="P661">
        <v>6.79</v>
      </c>
      <c r="Q661">
        <v>2.4500000000000002</v>
      </c>
      <c r="R661">
        <v>-4.37</v>
      </c>
      <c r="S661">
        <v>-2.33</v>
      </c>
      <c r="T661">
        <v>1.52</v>
      </c>
      <c r="U661">
        <v>1.44</v>
      </c>
      <c r="V661">
        <v>1.8</v>
      </c>
      <c r="W661">
        <v>2.17</v>
      </c>
      <c r="X661">
        <v>0.84</v>
      </c>
      <c r="Y661">
        <v>2.87</v>
      </c>
      <c r="Z661">
        <v>0.13</v>
      </c>
      <c r="AA661">
        <v>2.83</v>
      </c>
      <c r="AB661">
        <v>3.77</v>
      </c>
      <c r="AC661">
        <v>1.1299999999999999</v>
      </c>
      <c r="AD661">
        <v>5.2</v>
      </c>
      <c r="AE661">
        <v>0.81</v>
      </c>
      <c r="AF661">
        <v>2.311666666666667</v>
      </c>
      <c r="AG661" t="str">
        <f>HYPERLINK("https://finance.naver.com/item/fchart.naver?code=271560", "오리온 차트보기")</f>
        <v>오리온 차트보기</v>
      </c>
    </row>
    <row r="662" spans="1:33" x14ac:dyDescent="0.3">
      <c r="A662" t="s">
        <v>2675</v>
      </c>
      <c r="B662" t="s">
        <v>55</v>
      </c>
      <c r="C662" t="s">
        <v>2676</v>
      </c>
      <c r="D662">
        <v>255017.62</v>
      </c>
      <c r="E662" t="s">
        <v>2677</v>
      </c>
      <c r="F662">
        <v>0</v>
      </c>
      <c r="G662">
        <v>1.4600000381469731</v>
      </c>
      <c r="H662">
        <v>0</v>
      </c>
      <c r="I662">
        <v>0</v>
      </c>
      <c r="J662" t="s">
        <v>2678</v>
      </c>
      <c r="K662">
        <v>3730</v>
      </c>
      <c r="L662">
        <v>3865</v>
      </c>
      <c r="M662">
        <v>3.62</v>
      </c>
      <c r="N662">
        <v>2.79</v>
      </c>
      <c r="O662">
        <v>24.47</v>
      </c>
      <c r="P662">
        <v>10.34</v>
      </c>
      <c r="Q662">
        <v>-11.16</v>
      </c>
      <c r="R662">
        <v>-2.48</v>
      </c>
      <c r="S662">
        <v>2.23</v>
      </c>
      <c r="T662">
        <v>2.56</v>
      </c>
      <c r="U662">
        <v>4.51</v>
      </c>
      <c r="V662">
        <v>5.75</v>
      </c>
      <c r="W662">
        <v>2.92</v>
      </c>
      <c r="X662">
        <v>1.92</v>
      </c>
      <c r="Y662">
        <v>4.92</v>
      </c>
      <c r="Z662">
        <v>1.0900000000000001</v>
      </c>
      <c r="AA662">
        <v>5.43</v>
      </c>
      <c r="AB662">
        <v>1.8</v>
      </c>
      <c r="AC662">
        <v>3.82</v>
      </c>
      <c r="AD662">
        <v>1.29</v>
      </c>
      <c r="AE662">
        <v>0.45</v>
      </c>
      <c r="AF662">
        <v>2.313333333333333</v>
      </c>
      <c r="AG662" t="str">
        <f>HYPERLINK("https://finance.naver.com/item/fchart.naver?code=206400", "베노티앤알 차트보기")</f>
        <v>베노티앤알 차트보기</v>
      </c>
    </row>
    <row r="663" spans="1:33" x14ac:dyDescent="0.3">
      <c r="A663" t="s">
        <v>2679</v>
      </c>
      <c r="B663" t="s">
        <v>34</v>
      </c>
      <c r="C663" t="s">
        <v>2680</v>
      </c>
      <c r="D663">
        <v>124062.14</v>
      </c>
      <c r="E663" t="s">
        <v>2681</v>
      </c>
      <c r="F663">
        <v>10.4</v>
      </c>
      <c r="G663">
        <v>1.139999985694885</v>
      </c>
      <c r="H663">
        <v>754</v>
      </c>
      <c r="I663">
        <v>3.190000057220459</v>
      </c>
      <c r="J663" t="s">
        <v>2682</v>
      </c>
      <c r="K663">
        <v>9710</v>
      </c>
      <c r="L663">
        <v>7840</v>
      </c>
      <c r="M663">
        <v>-19.260000000000002</v>
      </c>
      <c r="N663">
        <v>-2.61</v>
      </c>
      <c r="O663">
        <v>-0.25</v>
      </c>
      <c r="P663">
        <v>-7.26</v>
      </c>
      <c r="Q663">
        <v>-15.52</v>
      </c>
      <c r="R663">
        <v>2.25</v>
      </c>
      <c r="S663">
        <v>-10.92</v>
      </c>
      <c r="T663">
        <v>1.31</v>
      </c>
      <c r="U663">
        <v>2.7</v>
      </c>
      <c r="V663">
        <v>2.46</v>
      </c>
      <c r="W663">
        <v>3.31</v>
      </c>
      <c r="X663">
        <v>1.63</v>
      </c>
      <c r="Y663">
        <v>3.91</v>
      </c>
      <c r="Z663">
        <v>1.99</v>
      </c>
      <c r="AA663">
        <v>0.09</v>
      </c>
      <c r="AB663">
        <v>2.95</v>
      </c>
      <c r="AC663">
        <v>4.6900000000000004</v>
      </c>
      <c r="AD663">
        <v>1.38</v>
      </c>
      <c r="AE663">
        <v>2.79</v>
      </c>
      <c r="AF663">
        <v>2.3149999999999999</v>
      </c>
      <c r="AG663" t="str">
        <f>HYPERLINK("https://finance.naver.com/item/fchart.naver?code=026890", "스틱인베스트먼트 차트보기")</f>
        <v>스틱인베스트먼트 차트보기</v>
      </c>
    </row>
    <row r="664" spans="1:33" x14ac:dyDescent="0.3">
      <c r="A664" t="s">
        <v>2683</v>
      </c>
      <c r="B664" t="s">
        <v>55</v>
      </c>
      <c r="C664" t="s">
        <v>2684</v>
      </c>
      <c r="D664">
        <v>23772.52</v>
      </c>
      <c r="E664" t="s">
        <v>2685</v>
      </c>
      <c r="F664">
        <v>0</v>
      </c>
      <c r="G664">
        <v>0.89999997615814209</v>
      </c>
      <c r="H664">
        <v>0</v>
      </c>
      <c r="I664">
        <v>5.869999885559082</v>
      </c>
      <c r="J664" t="s">
        <v>2686</v>
      </c>
      <c r="K664">
        <v>3445</v>
      </c>
      <c r="L664">
        <v>3405</v>
      </c>
      <c r="M664">
        <v>-1.1599999999999999</v>
      </c>
      <c r="N664">
        <v>-3.68</v>
      </c>
      <c r="O664">
        <v>4.67</v>
      </c>
      <c r="P664">
        <v>-0.57999999999999996</v>
      </c>
      <c r="Q664">
        <v>1.79</v>
      </c>
      <c r="R664">
        <v>-2.77</v>
      </c>
      <c r="S664">
        <v>1.79</v>
      </c>
      <c r="T664">
        <v>0.89</v>
      </c>
      <c r="U664">
        <v>1.1599999999999999</v>
      </c>
      <c r="V664">
        <v>1.26</v>
      </c>
      <c r="W664">
        <v>1.9</v>
      </c>
      <c r="X664">
        <v>1.25</v>
      </c>
      <c r="Y664">
        <v>0.85</v>
      </c>
      <c r="Z664">
        <v>4.13</v>
      </c>
      <c r="AA664">
        <v>4.03</v>
      </c>
      <c r="AB664">
        <v>0.46</v>
      </c>
      <c r="AC664">
        <v>0.94</v>
      </c>
      <c r="AD664">
        <v>2.2200000000000002</v>
      </c>
      <c r="AE664">
        <v>2.11</v>
      </c>
      <c r="AF664">
        <v>2.3149999999999999</v>
      </c>
      <c r="AG664" t="str">
        <f>HYPERLINK("https://finance.naver.com/item/fchart.naver?code=085910", "네오티스 차트보기")</f>
        <v>네오티스 차트보기</v>
      </c>
    </row>
    <row r="665" spans="1:33" x14ac:dyDescent="0.3">
      <c r="A665" t="s">
        <v>2687</v>
      </c>
      <c r="B665" t="s">
        <v>34</v>
      </c>
      <c r="C665" t="s">
        <v>2688</v>
      </c>
      <c r="D665">
        <v>14411.1</v>
      </c>
      <c r="E665" t="s">
        <v>2689</v>
      </c>
      <c r="F665">
        <v>11.87</v>
      </c>
      <c r="G665">
        <v>0.8399999737739563</v>
      </c>
      <c r="H665">
        <v>29728</v>
      </c>
      <c r="I665">
        <v>1.419999957084656</v>
      </c>
      <c r="J665" t="s">
        <v>2690</v>
      </c>
      <c r="K665">
        <v>420500</v>
      </c>
      <c r="L665">
        <v>353000</v>
      </c>
      <c r="M665">
        <v>-16.05</v>
      </c>
      <c r="N665">
        <v>-4.08</v>
      </c>
      <c r="O665">
        <v>-1.06</v>
      </c>
      <c r="P665">
        <v>-0.52</v>
      </c>
      <c r="Q665">
        <v>-19.329999999999998</v>
      </c>
      <c r="R665">
        <v>1.79</v>
      </c>
      <c r="S665">
        <v>4.49</v>
      </c>
      <c r="T665">
        <v>2.59</v>
      </c>
      <c r="U665">
        <v>1.93</v>
      </c>
      <c r="V665">
        <v>1.57</v>
      </c>
      <c r="W665">
        <v>2.04</v>
      </c>
      <c r="X665">
        <v>2.11</v>
      </c>
      <c r="Y665">
        <v>4.05</v>
      </c>
      <c r="Z665">
        <v>1.58</v>
      </c>
      <c r="AA665">
        <v>0.55000000000000004</v>
      </c>
      <c r="AB665">
        <v>0.33</v>
      </c>
      <c r="AC665">
        <v>9.48</v>
      </c>
      <c r="AD665">
        <v>0.85</v>
      </c>
      <c r="AE665">
        <v>1.1100000000000001</v>
      </c>
      <c r="AF665">
        <v>2.3166666666666669</v>
      </c>
      <c r="AG665" t="str">
        <f>HYPERLINK("https://finance.naver.com/item/fchart.naver?code=004370", "농심 차트보기")</f>
        <v>농심 차트보기</v>
      </c>
    </row>
    <row r="666" spans="1:33" x14ac:dyDescent="0.3">
      <c r="A666" t="s">
        <v>2691</v>
      </c>
      <c r="B666" t="s">
        <v>34</v>
      </c>
      <c r="C666" t="s">
        <v>2692</v>
      </c>
      <c r="D666">
        <v>8465.9500000000007</v>
      </c>
      <c r="E666" t="s">
        <v>2693</v>
      </c>
      <c r="F666">
        <v>6.52</v>
      </c>
      <c r="G666">
        <v>0.57999998331069946</v>
      </c>
      <c r="H666">
        <v>1000</v>
      </c>
      <c r="I666">
        <v>6.9000000953674316</v>
      </c>
      <c r="J666" t="s">
        <v>2694</v>
      </c>
      <c r="K666">
        <v>6490</v>
      </c>
      <c r="L666">
        <v>6520</v>
      </c>
      <c r="M666">
        <v>0.46</v>
      </c>
      <c r="N666">
        <v>1.56</v>
      </c>
      <c r="O666">
        <v>1.1000000000000001</v>
      </c>
      <c r="P666">
        <v>0.63</v>
      </c>
      <c r="Q666">
        <v>1.76</v>
      </c>
      <c r="R666">
        <v>-0.16</v>
      </c>
      <c r="S666">
        <v>-2.0299999999999998</v>
      </c>
      <c r="T666">
        <v>0.57999999999999996</v>
      </c>
      <c r="U666">
        <v>0.41</v>
      </c>
      <c r="V666">
        <v>0.44</v>
      </c>
      <c r="W666">
        <v>0.89</v>
      </c>
      <c r="X666">
        <v>0.39</v>
      </c>
      <c r="Y666">
        <v>0.43</v>
      </c>
      <c r="Z666">
        <v>2.69</v>
      </c>
      <c r="AA666">
        <v>2.68</v>
      </c>
      <c r="AB666">
        <v>1.43</v>
      </c>
      <c r="AC666">
        <v>1.98</v>
      </c>
      <c r="AD666">
        <v>0.41</v>
      </c>
      <c r="AE666">
        <v>4.72</v>
      </c>
      <c r="AF666">
        <v>2.3183333333333329</v>
      </c>
      <c r="AG666" t="str">
        <f>HYPERLINK("https://finance.naver.com/item/fchart.naver?code=035000", "HS애드 차트보기")</f>
        <v>HS애드 차트보기</v>
      </c>
    </row>
    <row r="667" spans="1:33" x14ac:dyDescent="0.3">
      <c r="A667" t="s">
        <v>2695</v>
      </c>
      <c r="B667" t="s">
        <v>55</v>
      </c>
      <c r="C667" t="s">
        <v>2696</v>
      </c>
      <c r="D667">
        <v>532836.9</v>
      </c>
      <c r="E667" t="s">
        <v>2697</v>
      </c>
      <c r="F667">
        <v>0</v>
      </c>
      <c r="G667">
        <v>5.0300002098083496</v>
      </c>
      <c r="H667">
        <v>0</v>
      </c>
      <c r="I667">
        <v>0</v>
      </c>
      <c r="J667" t="s">
        <v>2698</v>
      </c>
      <c r="K667">
        <v>1295</v>
      </c>
      <c r="L667">
        <v>1394</v>
      </c>
      <c r="M667">
        <v>7.64</v>
      </c>
      <c r="N667">
        <v>-1.1299999999999999</v>
      </c>
      <c r="O667">
        <v>8.15</v>
      </c>
      <c r="P667">
        <v>-5.41</v>
      </c>
      <c r="Q667">
        <v>-10.06</v>
      </c>
      <c r="R667">
        <v>-2.4700000000000002</v>
      </c>
      <c r="S667">
        <v>2.5499999999999998</v>
      </c>
      <c r="T667">
        <v>0.39</v>
      </c>
      <c r="U667">
        <v>5.84</v>
      </c>
      <c r="V667">
        <v>2.15</v>
      </c>
      <c r="W667">
        <v>1.88</v>
      </c>
      <c r="X667">
        <v>2.74</v>
      </c>
      <c r="Y667">
        <v>3.05</v>
      </c>
      <c r="Z667">
        <v>2.9</v>
      </c>
      <c r="AA667">
        <v>1.4</v>
      </c>
      <c r="AB667">
        <v>2.52</v>
      </c>
      <c r="AC667">
        <v>5.35</v>
      </c>
      <c r="AD667">
        <v>0.9</v>
      </c>
      <c r="AE667">
        <v>0.84</v>
      </c>
      <c r="AF667">
        <v>2.3183333333333329</v>
      </c>
      <c r="AG667" t="str">
        <f>HYPERLINK("https://finance.naver.com/item/fchart.naver?code=052770", "아이톡시 차트보기")</f>
        <v>아이톡시 차트보기</v>
      </c>
    </row>
    <row r="668" spans="1:33" x14ac:dyDescent="0.3">
      <c r="A668" t="s">
        <v>2699</v>
      </c>
      <c r="B668" t="s">
        <v>34</v>
      </c>
      <c r="C668" t="s">
        <v>2700</v>
      </c>
      <c r="D668">
        <v>36906</v>
      </c>
      <c r="E668" t="s">
        <v>2701</v>
      </c>
      <c r="F668">
        <v>21.36</v>
      </c>
      <c r="G668">
        <v>0.18999999761581421</v>
      </c>
      <c r="H668">
        <v>360</v>
      </c>
      <c r="I668">
        <v>1.299999952316284</v>
      </c>
      <c r="J668" t="s">
        <v>2702</v>
      </c>
      <c r="K668">
        <v>9030</v>
      </c>
      <c r="L668">
        <v>7690</v>
      </c>
      <c r="M668">
        <v>-14.84</v>
      </c>
      <c r="N668">
        <v>-3.39</v>
      </c>
      <c r="O668">
        <v>-3.14</v>
      </c>
      <c r="P668">
        <v>0.12</v>
      </c>
      <c r="Q668">
        <v>1.1000000000000001</v>
      </c>
      <c r="R668">
        <v>-5.63</v>
      </c>
      <c r="S668">
        <v>0.46</v>
      </c>
      <c r="T668">
        <v>0.83</v>
      </c>
      <c r="U668">
        <v>1.04</v>
      </c>
      <c r="V668">
        <v>1.63</v>
      </c>
      <c r="W668">
        <v>1.64</v>
      </c>
      <c r="X668">
        <v>1</v>
      </c>
      <c r="Y668">
        <v>1.03</v>
      </c>
      <c r="Z668">
        <v>4.08</v>
      </c>
      <c r="AA668">
        <v>3.02</v>
      </c>
      <c r="AB668">
        <v>7.0000000000000007E-2</v>
      </c>
      <c r="AC668">
        <v>0.67</v>
      </c>
      <c r="AD668">
        <v>5.63</v>
      </c>
      <c r="AE668">
        <v>0.45</v>
      </c>
      <c r="AF668">
        <v>2.3199999999999998</v>
      </c>
      <c r="AG668" t="str">
        <f>HYPERLINK("https://finance.naver.com/item/fchart.naver?code=003200", "일신방직 차트보기")</f>
        <v>일신방직 차트보기</v>
      </c>
    </row>
    <row r="669" spans="1:33" x14ac:dyDescent="0.3">
      <c r="A669" t="s">
        <v>2703</v>
      </c>
      <c r="B669" t="s">
        <v>55</v>
      </c>
      <c r="C669" t="s">
        <v>2704</v>
      </c>
      <c r="D669">
        <v>184584.86</v>
      </c>
      <c r="E669" t="s">
        <v>2705</v>
      </c>
      <c r="F669">
        <v>94.35</v>
      </c>
      <c r="G669">
        <v>1.690000057220459</v>
      </c>
      <c r="H669">
        <v>108</v>
      </c>
      <c r="I669">
        <v>0</v>
      </c>
      <c r="J669" t="s">
        <v>2706</v>
      </c>
      <c r="K669">
        <v>13150</v>
      </c>
      <c r="L669">
        <v>10190</v>
      </c>
      <c r="M669">
        <v>-22.51</v>
      </c>
      <c r="N669">
        <v>2.1</v>
      </c>
      <c r="O669">
        <v>5.5</v>
      </c>
      <c r="P669">
        <v>5.46</v>
      </c>
      <c r="Q669">
        <v>-5</v>
      </c>
      <c r="R669">
        <v>-3.78</v>
      </c>
      <c r="S669">
        <v>-5.41</v>
      </c>
      <c r="T669">
        <v>4.88</v>
      </c>
      <c r="U669">
        <v>1.69</v>
      </c>
      <c r="V669">
        <v>2.4</v>
      </c>
      <c r="W669">
        <v>2.65</v>
      </c>
      <c r="X669">
        <v>2.08</v>
      </c>
      <c r="Y669">
        <v>1.27</v>
      </c>
      <c r="Z669">
        <v>0.43</v>
      </c>
      <c r="AA669">
        <v>3.25</v>
      </c>
      <c r="AB669">
        <v>2.27</v>
      </c>
      <c r="AC669">
        <v>1.89</v>
      </c>
      <c r="AD669">
        <v>1.82</v>
      </c>
      <c r="AE669">
        <v>4.26</v>
      </c>
      <c r="AF669">
        <v>2.3199999999999998</v>
      </c>
      <c r="AG669" t="str">
        <f>HYPERLINK("https://finance.naver.com/item/fchart.naver?code=068240", "다원시스 차트보기")</f>
        <v>다원시스 차트보기</v>
      </c>
    </row>
    <row r="670" spans="1:33" x14ac:dyDescent="0.3">
      <c r="A670" t="s">
        <v>2707</v>
      </c>
      <c r="B670" t="s">
        <v>55</v>
      </c>
      <c r="C670" t="s">
        <v>2708</v>
      </c>
      <c r="D670">
        <v>2582071.0499999998</v>
      </c>
      <c r="E670" t="s">
        <v>2709</v>
      </c>
      <c r="F670">
        <v>9.39</v>
      </c>
      <c r="G670">
        <v>0.72000002861022949</v>
      </c>
      <c r="H670">
        <v>238</v>
      </c>
      <c r="I670">
        <v>0</v>
      </c>
      <c r="J670" t="s">
        <v>2710</v>
      </c>
      <c r="K670">
        <v>3135</v>
      </c>
      <c r="L670">
        <v>2235</v>
      </c>
      <c r="M670">
        <v>-28.71</v>
      </c>
      <c r="N670">
        <v>-3.87</v>
      </c>
      <c r="O670">
        <v>4.66</v>
      </c>
      <c r="P670">
        <v>5.74</v>
      </c>
      <c r="Q670">
        <v>-14.89</v>
      </c>
      <c r="R670">
        <v>-2.37</v>
      </c>
      <c r="S670">
        <v>-9.8699999999999992</v>
      </c>
      <c r="T670">
        <v>2.69</v>
      </c>
      <c r="U670">
        <v>4.8</v>
      </c>
      <c r="V670">
        <v>2.4500000000000002</v>
      </c>
      <c r="W670">
        <v>5.85</v>
      </c>
      <c r="X670">
        <v>1.4</v>
      </c>
      <c r="Y670">
        <v>1.99</v>
      </c>
      <c r="Z670">
        <v>1.44</v>
      </c>
      <c r="AA670">
        <v>0.97</v>
      </c>
      <c r="AB670">
        <v>2.34</v>
      </c>
      <c r="AC670">
        <v>2.5499999999999998</v>
      </c>
      <c r="AD670">
        <v>1.69</v>
      </c>
      <c r="AE670">
        <v>4.96</v>
      </c>
      <c r="AF670">
        <v>2.3250000000000002</v>
      </c>
      <c r="AG670" t="str">
        <f>HYPERLINK("https://finance.naver.com/item/fchart.naver?code=043610", "지니뮤직 차트보기")</f>
        <v>지니뮤직 차트보기</v>
      </c>
    </row>
    <row r="671" spans="1:33" x14ac:dyDescent="0.3">
      <c r="A671" t="s">
        <v>2711</v>
      </c>
      <c r="B671" t="s">
        <v>55</v>
      </c>
      <c r="C671" t="s">
        <v>2712</v>
      </c>
      <c r="D671">
        <v>10409.76</v>
      </c>
      <c r="E671" t="s">
        <v>2713</v>
      </c>
      <c r="F671">
        <v>15.91</v>
      </c>
      <c r="G671">
        <v>0.34999999403953552</v>
      </c>
      <c r="H671">
        <v>78</v>
      </c>
      <c r="I671">
        <v>0</v>
      </c>
      <c r="J671" t="s">
        <v>2714</v>
      </c>
      <c r="K671">
        <v>1474</v>
      </c>
      <c r="L671">
        <v>1241</v>
      </c>
      <c r="M671">
        <v>-15.81</v>
      </c>
      <c r="N671">
        <v>-0.72</v>
      </c>
      <c r="O671">
        <v>0.91</v>
      </c>
      <c r="P671">
        <v>-4.8899999999999997</v>
      </c>
      <c r="Q671">
        <v>2.98</v>
      </c>
      <c r="R671">
        <v>-3.36</v>
      </c>
      <c r="S671">
        <v>-7.58</v>
      </c>
      <c r="T671">
        <v>1.49</v>
      </c>
      <c r="U671">
        <v>1.01</v>
      </c>
      <c r="V671">
        <v>1.91</v>
      </c>
      <c r="W671">
        <v>4.58</v>
      </c>
      <c r="X671">
        <v>1.25</v>
      </c>
      <c r="Y671">
        <v>1.1299999999999999</v>
      </c>
      <c r="Z671">
        <v>0.48</v>
      </c>
      <c r="AA671">
        <v>0.9</v>
      </c>
      <c r="AB671">
        <v>2.56</v>
      </c>
      <c r="AC671">
        <v>0.65</v>
      </c>
      <c r="AD671">
        <v>2.69</v>
      </c>
      <c r="AE671">
        <v>6.71</v>
      </c>
      <c r="AF671">
        <v>2.331666666666667</v>
      </c>
      <c r="AG671" t="str">
        <f>HYPERLINK("https://finance.naver.com/item/fchart.naver?code=079650", "서산 차트보기")</f>
        <v>서산 차트보기</v>
      </c>
    </row>
    <row r="672" spans="1:33" x14ac:dyDescent="0.3">
      <c r="A672" t="s">
        <v>2715</v>
      </c>
      <c r="B672" t="s">
        <v>55</v>
      </c>
      <c r="C672" t="s">
        <v>2716</v>
      </c>
      <c r="D672">
        <v>673469.29</v>
      </c>
      <c r="E672" t="s">
        <v>2717</v>
      </c>
      <c r="F672">
        <v>4.29</v>
      </c>
      <c r="G672">
        <v>0.62000000476837158</v>
      </c>
      <c r="H672">
        <v>181</v>
      </c>
      <c r="I672">
        <v>2.5799999237060551</v>
      </c>
      <c r="J672" t="s">
        <v>2718</v>
      </c>
      <c r="K672">
        <v>1139</v>
      </c>
      <c r="L672">
        <v>776</v>
      </c>
      <c r="M672">
        <v>-31.87</v>
      </c>
      <c r="N672">
        <v>-3.36</v>
      </c>
      <c r="O672">
        <v>-19.920000000000002</v>
      </c>
      <c r="P672">
        <v>0.2</v>
      </c>
      <c r="Q672">
        <v>-4.6500000000000004</v>
      </c>
      <c r="R672">
        <v>-0.65</v>
      </c>
      <c r="S672">
        <v>-2.2599999999999998</v>
      </c>
      <c r="T672">
        <v>0.69</v>
      </c>
      <c r="U672">
        <v>4.8099999999999996</v>
      </c>
      <c r="V672">
        <v>0.7</v>
      </c>
      <c r="W672">
        <v>2.31</v>
      </c>
      <c r="X672">
        <v>1.27</v>
      </c>
      <c r="Y672">
        <v>1.04</v>
      </c>
      <c r="Z672">
        <v>4.87</v>
      </c>
      <c r="AA672">
        <v>4.1399999999999997</v>
      </c>
      <c r="AB672">
        <v>0.28999999999999998</v>
      </c>
      <c r="AC672">
        <v>2.0099999999999998</v>
      </c>
      <c r="AD672">
        <v>0.51</v>
      </c>
      <c r="AE672">
        <v>2.17</v>
      </c>
      <c r="AF672">
        <v>2.331666666666667</v>
      </c>
      <c r="AG672" t="str">
        <f>HYPERLINK("https://finance.naver.com/item/fchart.naver?code=060560", "홈센타홀딩스 차트보기")</f>
        <v>홈센타홀딩스 차트보기</v>
      </c>
    </row>
    <row r="673" spans="1:33" x14ac:dyDescent="0.3">
      <c r="A673" t="s">
        <v>2719</v>
      </c>
      <c r="B673" t="s">
        <v>55</v>
      </c>
      <c r="C673" t="s">
        <v>2720</v>
      </c>
      <c r="D673">
        <v>22779.52</v>
      </c>
      <c r="E673" t="s">
        <v>2721</v>
      </c>
      <c r="F673">
        <v>18.489999999999998</v>
      </c>
      <c r="G673">
        <v>0.38999998569488531</v>
      </c>
      <c r="H673">
        <v>489</v>
      </c>
      <c r="I673">
        <v>3.1500000953674321</v>
      </c>
      <c r="J673" t="s">
        <v>2722</v>
      </c>
      <c r="K673">
        <v>10630</v>
      </c>
      <c r="L673">
        <v>9040</v>
      </c>
      <c r="M673">
        <v>-14.96</v>
      </c>
      <c r="N673">
        <v>0</v>
      </c>
      <c r="O673">
        <v>-3.41</v>
      </c>
      <c r="P673">
        <v>-0.21</v>
      </c>
      <c r="Q673">
        <v>-5.5</v>
      </c>
      <c r="R673">
        <v>-3.15</v>
      </c>
      <c r="S673">
        <v>1.96</v>
      </c>
      <c r="T673">
        <v>1.0900000000000001</v>
      </c>
      <c r="U673">
        <v>0.55000000000000004</v>
      </c>
      <c r="V673">
        <v>0.87</v>
      </c>
      <c r="W673">
        <v>3.1</v>
      </c>
      <c r="X673">
        <v>0.92</v>
      </c>
      <c r="Y673">
        <v>0.83</v>
      </c>
      <c r="Z673">
        <v>0</v>
      </c>
      <c r="AA673">
        <v>6.2</v>
      </c>
      <c r="AB673">
        <v>0.24</v>
      </c>
      <c r="AC673">
        <v>1.77</v>
      </c>
      <c r="AD673">
        <v>3.42</v>
      </c>
      <c r="AE673">
        <v>2.36</v>
      </c>
      <c r="AF673">
        <v>2.331666666666667</v>
      </c>
      <c r="AG673" t="str">
        <f>HYPERLINK("https://finance.naver.com/item/fchart.naver?code=017890", "한국알콜 차트보기")</f>
        <v>한국알콜 차트보기</v>
      </c>
    </row>
    <row r="674" spans="1:33" x14ac:dyDescent="0.3">
      <c r="A674" t="s">
        <v>2723</v>
      </c>
      <c r="B674" t="s">
        <v>55</v>
      </c>
      <c r="C674" t="s">
        <v>2724</v>
      </c>
      <c r="D674">
        <v>17452.05</v>
      </c>
      <c r="E674" t="s">
        <v>2725</v>
      </c>
      <c r="F674">
        <v>52.5</v>
      </c>
      <c r="G674">
        <v>1.139999985694885</v>
      </c>
      <c r="H674">
        <v>50</v>
      </c>
      <c r="I674">
        <v>0</v>
      </c>
      <c r="J674" t="s">
        <v>2726</v>
      </c>
      <c r="K674">
        <v>2760</v>
      </c>
      <c r="L674">
        <v>2625</v>
      </c>
      <c r="M674">
        <v>-4.8899999999999997</v>
      </c>
      <c r="N674">
        <v>0.38</v>
      </c>
      <c r="O674">
        <v>0.76</v>
      </c>
      <c r="P674">
        <v>-4.3099999999999996</v>
      </c>
      <c r="Q674">
        <v>-5.27</v>
      </c>
      <c r="R674">
        <v>5.71</v>
      </c>
      <c r="S674">
        <v>-3.73</v>
      </c>
      <c r="T674">
        <v>1.73</v>
      </c>
      <c r="U674">
        <v>1.31</v>
      </c>
      <c r="V674">
        <v>1.05</v>
      </c>
      <c r="W674">
        <v>1.93</v>
      </c>
      <c r="X674">
        <v>1.71</v>
      </c>
      <c r="Y674">
        <v>1.23</v>
      </c>
      <c r="Z674">
        <v>0.22</v>
      </c>
      <c r="AA674">
        <v>0.57999999999999996</v>
      </c>
      <c r="AB674">
        <v>4.0999999999999996</v>
      </c>
      <c r="AC674">
        <v>2.73</v>
      </c>
      <c r="AD674">
        <v>3.34</v>
      </c>
      <c r="AE674">
        <v>3.03</v>
      </c>
      <c r="AF674">
        <v>2.333333333333333</v>
      </c>
      <c r="AG674" t="str">
        <f>HYPERLINK("https://finance.naver.com/item/fchart.naver?code=007530", "와이엠 차트보기")</f>
        <v>와이엠 차트보기</v>
      </c>
    </row>
    <row r="675" spans="1:33" x14ac:dyDescent="0.3">
      <c r="A675" t="s">
        <v>2727</v>
      </c>
      <c r="B675" t="s">
        <v>55</v>
      </c>
      <c r="C675" t="s">
        <v>2728</v>
      </c>
      <c r="D675">
        <v>70583.14</v>
      </c>
      <c r="E675" t="s">
        <v>2729</v>
      </c>
      <c r="F675">
        <v>0</v>
      </c>
      <c r="G675">
        <v>1.580000042915344</v>
      </c>
      <c r="H675">
        <v>0</v>
      </c>
      <c r="I675">
        <v>0</v>
      </c>
      <c r="J675" t="s">
        <v>2730</v>
      </c>
      <c r="K675">
        <v>1557</v>
      </c>
      <c r="L675">
        <v>1115</v>
      </c>
      <c r="M675">
        <v>-28.39</v>
      </c>
      <c r="N675">
        <v>-0.54</v>
      </c>
      <c r="O675">
        <v>-8.69</v>
      </c>
      <c r="P675">
        <v>4.92</v>
      </c>
      <c r="Q675">
        <v>-16.36</v>
      </c>
      <c r="R675">
        <v>-0.96</v>
      </c>
      <c r="S675">
        <v>-1.69</v>
      </c>
      <c r="T675">
        <v>0.49</v>
      </c>
      <c r="U675">
        <v>2.37</v>
      </c>
      <c r="V675">
        <v>2.0699999999999998</v>
      </c>
      <c r="W675">
        <v>3.61</v>
      </c>
      <c r="X675">
        <v>1.03</v>
      </c>
      <c r="Y675">
        <v>1.19</v>
      </c>
      <c r="Z675">
        <v>1.1000000000000001</v>
      </c>
      <c r="AA675">
        <v>3.67</v>
      </c>
      <c r="AB675">
        <v>2.38</v>
      </c>
      <c r="AC675">
        <v>4.53</v>
      </c>
      <c r="AD675">
        <v>0.93</v>
      </c>
      <c r="AE675">
        <v>1.42</v>
      </c>
      <c r="AF675">
        <v>2.3383333333333329</v>
      </c>
      <c r="AG675" t="str">
        <f>HYPERLINK("https://finance.naver.com/item/fchart.naver?code=332290", "누보 차트보기")</f>
        <v>누보 차트보기</v>
      </c>
    </row>
    <row r="676" spans="1:33" x14ac:dyDescent="0.3">
      <c r="A676" t="s">
        <v>2731</v>
      </c>
      <c r="B676" t="s">
        <v>55</v>
      </c>
      <c r="C676" t="s">
        <v>2732</v>
      </c>
      <c r="D676">
        <v>637486.14</v>
      </c>
      <c r="E676" t="s">
        <v>2733</v>
      </c>
      <c r="F676">
        <v>19.04</v>
      </c>
      <c r="G676">
        <v>1.279999971389771</v>
      </c>
      <c r="H676">
        <v>213</v>
      </c>
      <c r="I676">
        <v>3.7000000476837158</v>
      </c>
      <c r="J676" t="s">
        <v>2734</v>
      </c>
      <c r="K676">
        <v>4600</v>
      </c>
      <c r="L676">
        <v>4055</v>
      </c>
      <c r="M676">
        <v>-11.85</v>
      </c>
      <c r="N676">
        <v>0.12</v>
      </c>
      <c r="O676">
        <v>-2.64</v>
      </c>
      <c r="P676">
        <v>7.67</v>
      </c>
      <c r="Q676">
        <v>-5.8</v>
      </c>
      <c r="R676">
        <v>-3.64</v>
      </c>
      <c r="S676">
        <v>-5.4</v>
      </c>
      <c r="T676">
        <v>2.2200000000000002</v>
      </c>
      <c r="U676">
        <v>2.5499999999999998</v>
      </c>
      <c r="V676">
        <v>7.55</v>
      </c>
      <c r="W676">
        <v>2.79</v>
      </c>
      <c r="X676">
        <v>1.1499999999999999</v>
      </c>
      <c r="Y676">
        <v>0.81</v>
      </c>
      <c r="Z676">
        <v>0.05</v>
      </c>
      <c r="AA676">
        <v>1.04</v>
      </c>
      <c r="AB676">
        <v>1.02</v>
      </c>
      <c r="AC676">
        <v>2.08</v>
      </c>
      <c r="AD676">
        <v>3.17</v>
      </c>
      <c r="AE676">
        <v>6.67</v>
      </c>
      <c r="AF676">
        <v>2.3383333333333329</v>
      </c>
      <c r="AG676" t="str">
        <f>HYPERLINK("https://finance.naver.com/item/fchart.naver?code=052600", "한네트 차트보기")</f>
        <v>한네트 차트보기</v>
      </c>
    </row>
    <row r="677" spans="1:33" x14ac:dyDescent="0.3">
      <c r="A677" t="s">
        <v>2735</v>
      </c>
      <c r="B677" t="s">
        <v>55</v>
      </c>
      <c r="C677" t="s">
        <v>2736</v>
      </c>
      <c r="D677">
        <v>33452.81</v>
      </c>
      <c r="E677" t="s">
        <v>2737</v>
      </c>
      <c r="F677">
        <v>25.13</v>
      </c>
      <c r="G677">
        <v>0.80000001192092896</v>
      </c>
      <c r="H677">
        <v>308</v>
      </c>
      <c r="I677">
        <v>0.51999998092651367</v>
      </c>
      <c r="J677" t="s">
        <v>2738</v>
      </c>
      <c r="K677">
        <v>10430</v>
      </c>
      <c r="L677">
        <v>7740</v>
      </c>
      <c r="M677">
        <v>-25.79</v>
      </c>
      <c r="N677">
        <v>0</v>
      </c>
      <c r="O677">
        <v>4.49</v>
      </c>
      <c r="P677">
        <v>-2.08</v>
      </c>
      <c r="Q677">
        <v>-6.17</v>
      </c>
      <c r="R677">
        <v>-6.4</v>
      </c>
      <c r="S677">
        <v>-9.83</v>
      </c>
      <c r="T677">
        <v>2.42</v>
      </c>
      <c r="U677">
        <v>1.63</v>
      </c>
      <c r="V677">
        <v>2.54</v>
      </c>
      <c r="W677">
        <v>4.07</v>
      </c>
      <c r="X677">
        <v>4.12</v>
      </c>
      <c r="Y677">
        <v>1.33</v>
      </c>
      <c r="Z677">
        <v>0</v>
      </c>
      <c r="AA677">
        <v>2.75</v>
      </c>
      <c r="AB677">
        <v>0.82</v>
      </c>
      <c r="AC677">
        <v>1.52</v>
      </c>
      <c r="AD677">
        <v>1.55</v>
      </c>
      <c r="AE677">
        <v>7.39</v>
      </c>
      <c r="AF677">
        <v>2.3383333333333329</v>
      </c>
      <c r="AG677" t="str">
        <f>HYPERLINK("https://finance.naver.com/item/fchart.naver?code=008830", "대동기어 차트보기")</f>
        <v>대동기어 차트보기</v>
      </c>
    </row>
    <row r="678" spans="1:33" x14ac:dyDescent="0.3">
      <c r="A678" t="s">
        <v>2739</v>
      </c>
      <c r="B678" t="s">
        <v>55</v>
      </c>
      <c r="C678" t="s">
        <v>2740</v>
      </c>
      <c r="D678">
        <v>34642.67</v>
      </c>
      <c r="E678" t="s">
        <v>2741</v>
      </c>
      <c r="F678">
        <v>6.2</v>
      </c>
      <c r="G678">
        <v>0.80000001192092896</v>
      </c>
      <c r="H678">
        <v>3483</v>
      </c>
      <c r="I678">
        <v>0.46000000834465032</v>
      </c>
      <c r="J678" t="s">
        <v>2742</v>
      </c>
      <c r="K678">
        <v>29950</v>
      </c>
      <c r="L678">
        <v>21600</v>
      </c>
      <c r="M678">
        <v>-27.88</v>
      </c>
      <c r="N678">
        <v>-5.47</v>
      </c>
      <c r="O678">
        <v>-4.8099999999999996</v>
      </c>
      <c r="P678">
        <v>1.05</v>
      </c>
      <c r="Q678">
        <v>-7.87</v>
      </c>
      <c r="R678">
        <v>-4.8099999999999996</v>
      </c>
      <c r="S678">
        <v>-0.74</v>
      </c>
      <c r="T678">
        <v>2</v>
      </c>
      <c r="U678">
        <v>1.3</v>
      </c>
      <c r="V678">
        <v>1.71</v>
      </c>
      <c r="W678">
        <v>2.85</v>
      </c>
      <c r="X678">
        <v>1.31</v>
      </c>
      <c r="Y678">
        <v>1.3</v>
      </c>
      <c r="Z678">
        <v>2.73</v>
      </c>
      <c r="AA678">
        <v>3.7</v>
      </c>
      <c r="AB678">
        <v>0.61</v>
      </c>
      <c r="AC678">
        <v>2.76</v>
      </c>
      <c r="AD678">
        <v>3.67</v>
      </c>
      <c r="AE678">
        <v>0.56999999999999995</v>
      </c>
      <c r="AF678">
        <v>2.34</v>
      </c>
      <c r="AG678" t="str">
        <f>HYPERLINK("https://finance.naver.com/item/fchart.naver?code=043150", "바텍 차트보기")</f>
        <v>바텍 차트보기</v>
      </c>
    </row>
    <row r="679" spans="1:33" x14ac:dyDescent="0.3">
      <c r="A679" t="s">
        <v>2743</v>
      </c>
      <c r="B679" t="s">
        <v>34</v>
      </c>
      <c r="C679" t="s">
        <v>2744</v>
      </c>
      <c r="D679">
        <v>224850.76</v>
      </c>
      <c r="E679" t="s">
        <v>2745</v>
      </c>
      <c r="F679">
        <v>0</v>
      </c>
      <c r="G679">
        <v>1.2100000381469731</v>
      </c>
      <c r="H679">
        <v>0</v>
      </c>
      <c r="I679">
        <v>0.98000001907348633</v>
      </c>
      <c r="J679" t="s">
        <v>2746</v>
      </c>
      <c r="K679">
        <v>11610</v>
      </c>
      <c r="L679">
        <v>11210</v>
      </c>
      <c r="M679">
        <v>-3.45</v>
      </c>
      <c r="N679">
        <v>5.85</v>
      </c>
      <c r="O679">
        <v>0.55000000000000004</v>
      </c>
      <c r="P679">
        <v>-7.45</v>
      </c>
      <c r="Q679">
        <v>-4.1500000000000004</v>
      </c>
      <c r="R679">
        <v>12.73</v>
      </c>
      <c r="S679">
        <v>-0.19</v>
      </c>
      <c r="T679">
        <v>1.94</v>
      </c>
      <c r="U679">
        <v>1.37</v>
      </c>
      <c r="V679">
        <v>1.88</v>
      </c>
      <c r="W679">
        <v>3.87</v>
      </c>
      <c r="X679">
        <v>2.38</v>
      </c>
      <c r="Y679">
        <v>0.76</v>
      </c>
      <c r="Z679">
        <v>3.02</v>
      </c>
      <c r="AA679">
        <v>0.4</v>
      </c>
      <c r="AB679">
        <v>3.96</v>
      </c>
      <c r="AC679">
        <v>1.07</v>
      </c>
      <c r="AD679">
        <v>5.35</v>
      </c>
      <c r="AE679">
        <v>0.25</v>
      </c>
      <c r="AF679">
        <v>2.3416666666666659</v>
      </c>
      <c r="AG679" t="str">
        <f>HYPERLINK("https://finance.naver.com/item/fchart.naver?code=017960", "한국카본 차트보기")</f>
        <v>한국카본 차트보기</v>
      </c>
    </row>
    <row r="680" spans="1:33" x14ac:dyDescent="0.3">
      <c r="A680" t="s">
        <v>2747</v>
      </c>
      <c r="B680" t="s">
        <v>55</v>
      </c>
      <c r="C680" t="s">
        <v>2748</v>
      </c>
      <c r="D680">
        <v>258844.9</v>
      </c>
      <c r="E680" t="s">
        <v>2749</v>
      </c>
      <c r="F680">
        <v>10.1</v>
      </c>
      <c r="G680">
        <v>0.75999999046325684</v>
      </c>
      <c r="H680">
        <v>30</v>
      </c>
      <c r="I680">
        <v>0</v>
      </c>
      <c r="J680" t="s">
        <v>2750</v>
      </c>
      <c r="K680">
        <v>369</v>
      </c>
      <c r="L680">
        <v>303</v>
      </c>
      <c r="M680">
        <v>-17.89</v>
      </c>
      <c r="N680">
        <v>-1.3</v>
      </c>
      <c r="O680">
        <v>-4.32</v>
      </c>
      <c r="P680">
        <v>-3.8</v>
      </c>
      <c r="Q680">
        <v>-2.56</v>
      </c>
      <c r="R680">
        <v>1.1599999999999999</v>
      </c>
      <c r="S680">
        <v>-6.43</v>
      </c>
      <c r="T680">
        <v>1.21</v>
      </c>
      <c r="U680">
        <v>1.36</v>
      </c>
      <c r="V680">
        <v>1.34</v>
      </c>
      <c r="W680">
        <v>7.62</v>
      </c>
      <c r="X680">
        <v>1.46</v>
      </c>
      <c r="Y680">
        <v>1.1000000000000001</v>
      </c>
      <c r="Z680">
        <v>1.07</v>
      </c>
      <c r="AA680">
        <v>3.18</v>
      </c>
      <c r="AB680">
        <v>2.84</v>
      </c>
      <c r="AC680">
        <v>0.34</v>
      </c>
      <c r="AD680">
        <v>0.79</v>
      </c>
      <c r="AE680">
        <v>5.85</v>
      </c>
      <c r="AF680">
        <v>2.3450000000000002</v>
      </c>
      <c r="AG680" t="str">
        <f>HYPERLINK("https://finance.naver.com/item/fchart.naver?code=021880", "메이슨캐피탈 차트보기")</f>
        <v>메이슨캐피탈 차트보기</v>
      </c>
    </row>
    <row r="681" spans="1:33" x14ac:dyDescent="0.3">
      <c r="A681" t="s">
        <v>2751</v>
      </c>
      <c r="B681" t="s">
        <v>34</v>
      </c>
      <c r="C681" t="s">
        <v>2752</v>
      </c>
      <c r="D681">
        <v>24688.38</v>
      </c>
      <c r="E681" t="s">
        <v>2753</v>
      </c>
      <c r="F681">
        <v>4.33</v>
      </c>
      <c r="G681">
        <v>0.60000002384185791</v>
      </c>
      <c r="H681">
        <v>4994</v>
      </c>
      <c r="I681">
        <v>3.7000000476837158</v>
      </c>
      <c r="J681" t="s">
        <v>2754</v>
      </c>
      <c r="K681">
        <v>24050</v>
      </c>
      <c r="L681">
        <v>21600</v>
      </c>
      <c r="M681">
        <v>-10.19</v>
      </c>
      <c r="N681">
        <v>-2.48</v>
      </c>
      <c r="O681">
        <v>-3.05</v>
      </c>
      <c r="P681">
        <v>4.75</v>
      </c>
      <c r="Q681">
        <v>0.23</v>
      </c>
      <c r="R681">
        <v>-6.3</v>
      </c>
      <c r="S681">
        <v>8.7200000000000006</v>
      </c>
      <c r="T681">
        <v>1.66</v>
      </c>
      <c r="U681">
        <v>1.85</v>
      </c>
      <c r="V681">
        <v>1.46</v>
      </c>
      <c r="W681">
        <v>2.16</v>
      </c>
      <c r="X681">
        <v>1.83</v>
      </c>
      <c r="Y681">
        <v>2.11</v>
      </c>
      <c r="Z681">
        <v>1.49</v>
      </c>
      <c r="AA681">
        <v>1.65</v>
      </c>
      <c r="AB681">
        <v>3.25</v>
      </c>
      <c r="AC681">
        <v>0.11</v>
      </c>
      <c r="AD681">
        <v>3.44</v>
      </c>
      <c r="AE681">
        <v>4.13</v>
      </c>
      <c r="AF681">
        <v>2.3450000000000002</v>
      </c>
      <c r="AG681" t="str">
        <f>HYPERLINK("https://finance.naver.com/item/fchart.naver?code=284740", "쿠쿠홈시스 차트보기")</f>
        <v>쿠쿠홈시스 차트보기</v>
      </c>
    </row>
    <row r="682" spans="1:33" x14ac:dyDescent="0.3">
      <c r="A682" t="s">
        <v>2755</v>
      </c>
      <c r="B682" t="s">
        <v>34</v>
      </c>
      <c r="C682" t="s">
        <v>2756</v>
      </c>
      <c r="D682">
        <v>10119.709999999999</v>
      </c>
      <c r="E682" t="s">
        <v>2757</v>
      </c>
      <c r="F682">
        <v>4.51</v>
      </c>
      <c r="G682">
        <v>0.44999998807907099</v>
      </c>
      <c r="H682">
        <v>2840</v>
      </c>
      <c r="I682">
        <v>4.679999828338623</v>
      </c>
      <c r="J682" t="s">
        <v>2758</v>
      </c>
      <c r="K682">
        <v>14080</v>
      </c>
      <c r="L682">
        <v>12810</v>
      </c>
      <c r="M682">
        <v>-9.02</v>
      </c>
      <c r="N682">
        <v>0.95</v>
      </c>
      <c r="O682">
        <v>-0.7</v>
      </c>
      <c r="P682">
        <v>1.66</v>
      </c>
      <c r="Q682">
        <v>-1</v>
      </c>
      <c r="R682">
        <v>-0.77</v>
      </c>
      <c r="S682">
        <v>-3.48</v>
      </c>
      <c r="T682">
        <v>0.28999999999999998</v>
      </c>
      <c r="U682">
        <v>0.38</v>
      </c>
      <c r="V682">
        <v>0.62</v>
      </c>
      <c r="W682">
        <v>0.96</v>
      </c>
      <c r="X682">
        <v>0.44</v>
      </c>
      <c r="Y682">
        <v>1</v>
      </c>
      <c r="Z682">
        <v>3.28</v>
      </c>
      <c r="AA682">
        <v>1.84</v>
      </c>
      <c r="AB682">
        <v>2.68</v>
      </c>
      <c r="AC682">
        <v>1.04</v>
      </c>
      <c r="AD682">
        <v>1.75</v>
      </c>
      <c r="AE682">
        <v>3.48</v>
      </c>
      <c r="AF682">
        <v>2.3450000000000002</v>
      </c>
      <c r="AG682" t="str">
        <f>HYPERLINK("https://finance.naver.com/item/fchart.naver?code=002810", "삼영무역 차트보기")</f>
        <v>삼영무역 차트보기</v>
      </c>
    </row>
    <row r="683" spans="1:33" x14ac:dyDescent="0.3">
      <c r="A683" t="s">
        <v>2759</v>
      </c>
      <c r="B683" t="s">
        <v>55</v>
      </c>
      <c r="C683" t="s">
        <v>2760</v>
      </c>
      <c r="D683">
        <v>26053.9</v>
      </c>
      <c r="E683" t="s">
        <v>2761</v>
      </c>
      <c r="F683">
        <v>0</v>
      </c>
      <c r="G683">
        <v>0.2199999988079071</v>
      </c>
      <c r="H683">
        <v>0</v>
      </c>
      <c r="I683">
        <v>0</v>
      </c>
      <c r="J683" t="s">
        <v>2762</v>
      </c>
      <c r="K683">
        <v>1429</v>
      </c>
      <c r="L683">
        <v>1121</v>
      </c>
      <c r="M683">
        <v>-21.55</v>
      </c>
      <c r="N683">
        <v>0.9</v>
      </c>
      <c r="O683">
        <v>-5.9</v>
      </c>
      <c r="P683">
        <v>1.19</v>
      </c>
      <c r="Q683">
        <v>-11.93</v>
      </c>
      <c r="R683">
        <v>0.44</v>
      </c>
      <c r="S683">
        <v>-7.59</v>
      </c>
      <c r="T683">
        <v>1.22</v>
      </c>
      <c r="U683">
        <v>1.18</v>
      </c>
      <c r="V683">
        <v>1.59</v>
      </c>
      <c r="W683">
        <v>3.67</v>
      </c>
      <c r="X683">
        <v>1.42</v>
      </c>
      <c r="Y683">
        <v>1.88</v>
      </c>
      <c r="Z683">
        <v>0.74</v>
      </c>
      <c r="AA683">
        <v>5</v>
      </c>
      <c r="AB683">
        <v>0.75</v>
      </c>
      <c r="AC683">
        <v>3.25</v>
      </c>
      <c r="AD683">
        <v>0.31</v>
      </c>
      <c r="AE683">
        <v>4.04</v>
      </c>
      <c r="AF683">
        <v>2.3483333333333332</v>
      </c>
      <c r="AG683" t="str">
        <f>HYPERLINK("https://finance.naver.com/item/fchart.naver?code=032080", "아즈텍WB 차트보기")</f>
        <v>아즈텍WB 차트보기</v>
      </c>
    </row>
    <row r="684" spans="1:33" x14ac:dyDescent="0.3">
      <c r="A684" t="s">
        <v>2763</v>
      </c>
      <c r="B684" t="s">
        <v>55</v>
      </c>
      <c r="C684" t="s">
        <v>2764</v>
      </c>
      <c r="D684">
        <v>6638650.6699999999</v>
      </c>
      <c r="E684" t="s">
        <v>2765</v>
      </c>
      <c r="F684">
        <v>0</v>
      </c>
      <c r="G684">
        <v>1.379999995231628</v>
      </c>
      <c r="H684">
        <v>0</v>
      </c>
      <c r="I684">
        <v>0</v>
      </c>
      <c r="J684" t="s">
        <v>2766</v>
      </c>
      <c r="K684">
        <v>3760</v>
      </c>
      <c r="L684">
        <v>4050</v>
      </c>
      <c r="M684">
        <v>7.71</v>
      </c>
      <c r="N684">
        <v>-8.7799999999999994</v>
      </c>
      <c r="O684">
        <v>8.02</v>
      </c>
      <c r="P684">
        <v>23.71</v>
      </c>
      <c r="Q684">
        <v>10.66</v>
      </c>
      <c r="R684">
        <v>-12.03</v>
      </c>
      <c r="S684">
        <v>-2.85</v>
      </c>
      <c r="T684">
        <v>3.09</v>
      </c>
      <c r="U684">
        <v>8.08</v>
      </c>
      <c r="V684">
        <v>5.36</v>
      </c>
      <c r="W684">
        <v>8.43</v>
      </c>
      <c r="X684">
        <v>3.5</v>
      </c>
      <c r="Y684">
        <v>2.5099999999999998</v>
      </c>
      <c r="Z684">
        <v>2.84</v>
      </c>
      <c r="AA684">
        <v>0.99</v>
      </c>
      <c r="AB684">
        <v>4.42</v>
      </c>
      <c r="AC684">
        <v>1.26</v>
      </c>
      <c r="AD684">
        <v>3.44</v>
      </c>
      <c r="AE684">
        <v>1.1399999999999999</v>
      </c>
      <c r="AF684">
        <v>2.3483333333333332</v>
      </c>
      <c r="AG684" t="str">
        <f>HYPERLINK("https://finance.naver.com/item/fchart.naver?code=013810", "스페코 차트보기")</f>
        <v>스페코 차트보기</v>
      </c>
    </row>
    <row r="685" spans="1:33" x14ac:dyDescent="0.3">
      <c r="A685" t="s">
        <v>2767</v>
      </c>
      <c r="B685" t="s">
        <v>55</v>
      </c>
      <c r="C685" t="s">
        <v>2768</v>
      </c>
      <c r="D685">
        <v>15765.67</v>
      </c>
      <c r="E685" t="s">
        <v>2769</v>
      </c>
      <c r="F685">
        <v>0</v>
      </c>
      <c r="G685">
        <v>0</v>
      </c>
      <c r="H685">
        <v>0</v>
      </c>
      <c r="I685">
        <v>0</v>
      </c>
      <c r="J685" t="s">
        <v>2770</v>
      </c>
      <c r="K685">
        <v>2020</v>
      </c>
      <c r="L685">
        <v>1998</v>
      </c>
      <c r="M685">
        <v>-1.0900000000000001</v>
      </c>
      <c r="N685">
        <v>-0.05</v>
      </c>
      <c r="O685">
        <v>-0.55000000000000004</v>
      </c>
      <c r="P685">
        <v>-0.74</v>
      </c>
      <c r="Q685">
        <v>-1.92</v>
      </c>
      <c r="R685">
        <v>2.4900000000000002</v>
      </c>
      <c r="S685">
        <v>0</v>
      </c>
      <c r="T685">
        <v>0.11</v>
      </c>
      <c r="U685">
        <v>0.24</v>
      </c>
      <c r="V685">
        <v>0.36</v>
      </c>
      <c r="W685">
        <v>0.81</v>
      </c>
      <c r="X685">
        <v>0.36</v>
      </c>
      <c r="Y685">
        <v>0.3</v>
      </c>
      <c r="Z685">
        <v>0.45</v>
      </c>
      <c r="AA685">
        <v>2.29</v>
      </c>
      <c r="AB685">
        <v>2.06</v>
      </c>
      <c r="AC685">
        <v>2.37</v>
      </c>
      <c r="AD685">
        <v>6.92</v>
      </c>
      <c r="AE685">
        <v>0</v>
      </c>
      <c r="AF685">
        <v>2.3483333333333332</v>
      </c>
      <c r="AG685" t="str">
        <f>HYPERLINK("https://finance.naver.com/item/fchart.naver?code=466910", "엔에이치스팩30호 차트보기")</f>
        <v>엔에이치스팩30호 차트보기</v>
      </c>
    </row>
    <row r="686" spans="1:33" x14ac:dyDescent="0.3">
      <c r="A686" t="s">
        <v>2771</v>
      </c>
      <c r="B686" t="s">
        <v>34</v>
      </c>
      <c r="C686" t="s">
        <v>2772</v>
      </c>
      <c r="D686">
        <v>680046.05</v>
      </c>
      <c r="E686" t="s">
        <v>2773</v>
      </c>
      <c r="F686">
        <v>0</v>
      </c>
      <c r="G686">
        <v>0.55000001192092896</v>
      </c>
      <c r="H686">
        <v>0</v>
      </c>
      <c r="I686">
        <v>2.2000000476837158</v>
      </c>
      <c r="J686" t="s">
        <v>2774</v>
      </c>
      <c r="K686">
        <v>13770</v>
      </c>
      <c r="L686">
        <v>13630</v>
      </c>
      <c r="M686">
        <v>-1.02</v>
      </c>
      <c r="N686">
        <v>-0.15</v>
      </c>
      <c r="O686">
        <v>2.59</v>
      </c>
      <c r="P686">
        <v>-5.95</v>
      </c>
      <c r="Q686">
        <v>-6.28</v>
      </c>
      <c r="R686">
        <v>-1.43</v>
      </c>
      <c r="S686">
        <v>-9.68</v>
      </c>
      <c r="T686">
        <v>1.37</v>
      </c>
      <c r="U686">
        <v>3.79</v>
      </c>
      <c r="V686">
        <v>1.63</v>
      </c>
      <c r="W686">
        <v>3.37</v>
      </c>
      <c r="X686">
        <v>3.55</v>
      </c>
      <c r="Y686">
        <v>1.31</v>
      </c>
      <c r="Z686">
        <v>0.11</v>
      </c>
      <c r="AA686">
        <v>0.68</v>
      </c>
      <c r="AB686">
        <v>3.65</v>
      </c>
      <c r="AC686">
        <v>1.86</v>
      </c>
      <c r="AD686">
        <v>0.4</v>
      </c>
      <c r="AE686">
        <v>7.39</v>
      </c>
      <c r="AF686">
        <v>2.3483333333333332</v>
      </c>
      <c r="AG686" t="str">
        <f>HYPERLINK("https://finance.naver.com/item/fchart.naver?code=002390", "한독 차트보기")</f>
        <v>한독 차트보기</v>
      </c>
    </row>
    <row r="687" spans="1:33" x14ac:dyDescent="0.3">
      <c r="A687" t="s">
        <v>2775</v>
      </c>
      <c r="B687" t="s">
        <v>55</v>
      </c>
      <c r="C687" t="s">
        <v>2776</v>
      </c>
      <c r="D687">
        <v>34362.76</v>
      </c>
      <c r="E687" t="s">
        <v>2777</v>
      </c>
      <c r="F687">
        <v>17.66</v>
      </c>
      <c r="G687">
        <v>0.51999998092651367</v>
      </c>
      <c r="H687">
        <v>70</v>
      </c>
      <c r="I687">
        <v>0</v>
      </c>
      <c r="J687" t="s">
        <v>2778</v>
      </c>
      <c r="K687">
        <v>1653</v>
      </c>
      <c r="L687">
        <v>1236</v>
      </c>
      <c r="M687">
        <v>-25.23</v>
      </c>
      <c r="N687">
        <v>-8.1</v>
      </c>
      <c r="O687">
        <v>-1.03</v>
      </c>
      <c r="P687">
        <v>0.95</v>
      </c>
      <c r="Q687">
        <v>-14.31</v>
      </c>
      <c r="R687">
        <v>4.99</v>
      </c>
      <c r="S687">
        <v>-2.95</v>
      </c>
      <c r="T687">
        <v>1.95</v>
      </c>
      <c r="U687">
        <v>0.86</v>
      </c>
      <c r="V687">
        <v>1.59</v>
      </c>
      <c r="W687">
        <v>2.65</v>
      </c>
      <c r="X687">
        <v>3.58</v>
      </c>
      <c r="Y687">
        <v>2.1800000000000002</v>
      </c>
      <c r="Z687">
        <v>4.1500000000000004</v>
      </c>
      <c r="AA687">
        <v>1.2</v>
      </c>
      <c r="AB687">
        <v>0.6</v>
      </c>
      <c r="AC687">
        <v>5.4</v>
      </c>
      <c r="AD687">
        <v>1.39</v>
      </c>
      <c r="AE687">
        <v>1.35</v>
      </c>
      <c r="AF687">
        <v>2.348333333333334</v>
      </c>
      <c r="AG687" t="str">
        <f>HYPERLINK("https://finance.naver.com/item/fchart.naver?code=196700", "웹스 차트보기")</f>
        <v>웹스 차트보기</v>
      </c>
    </row>
    <row r="688" spans="1:33" x14ac:dyDescent="0.3">
      <c r="A688" t="s">
        <v>2779</v>
      </c>
      <c r="B688" t="s">
        <v>55</v>
      </c>
      <c r="C688" t="s">
        <v>2780</v>
      </c>
      <c r="D688">
        <v>112888.38</v>
      </c>
      <c r="E688" t="s">
        <v>2781</v>
      </c>
      <c r="F688">
        <v>0</v>
      </c>
      <c r="G688">
        <v>5.0900001525878906</v>
      </c>
      <c r="H688">
        <v>0</v>
      </c>
      <c r="I688">
        <v>0</v>
      </c>
      <c r="J688" t="s">
        <v>2782</v>
      </c>
      <c r="K688">
        <v>88200</v>
      </c>
      <c r="L688">
        <v>29450</v>
      </c>
      <c r="M688">
        <v>-66.61</v>
      </c>
      <c r="N688">
        <v>-7.24</v>
      </c>
      <c r="O688">
        <v>-1.76</v>
      </c>
      <c r="P688">
        <v>-7.8</v>
      </c>
      <c r="Q688">
        <v>-17.75</v>
      </c>
      <c r="R688">
        <v>-37.75</v>
      </c>
      <c r="S688">
        <v>-10.16</v>
      </c>
      <c r="T688">
        <v>6.73</v>
      </c>
      <c r="U688">
        <v>3.94</v>
      </c>
      <c r="V688">
        <v>4.25</v>
      </c>
      <c r="W688">
        <v>5.97</v>
      </c>
      <c r="X688">
        <v>6.25</v>
      </c>
      <c r="Y688">
        <v>5.92</v>
      </c>
      <c r="Z688">
        <v>1.08</v>
      </c>
      <c r="AA688">
        <v>0.45</v>
      </c>
      <c r="AB688">
        <v>1.84</v>
      </c>
      <c r="AC688">
        <v>2.97</v>
      </c>
      <c r="AD688">
        <v>6.04</v>
      </c>
      <c r="AE688">
        <v>1.72</v>
      </c>
      <c r="AF688">
        <v>2.35</v>
      </c>
      <c r="AG688" t="str">
        <f>HYPERLINK("https://finance.naver.com/item/fchart.naver?code=389020", "자람테크놀로지 차트보기")</f>
        <v>자람테크놀로지 차트보기</v>
      </c>
    </row>
    <row r="689" spans="1:33" x14ac:dyDescent="0.3">
      <c r="A689" t="s">
        <v>2783</v>
      </c>
      <c r="B689" t="s">
        <v>55</v>
      </c>
      <c r="C689" t="s">
        <v>2784</v>
      </c>
      <c r="D689">
        <v>33404.480000000003</v>
      </c>
      <c r="E689" t="s">
        <v>2785</v>
      </c>
      <c r="F689">
        <v>6.77</v>
      </c>
      <c r="G689">
        <v>0.36000001430511469</v>
      </c>
      <c r="H689">
        <v>674</v>
      </c>
      <c r="I689">
        <v>6.570000171661377</v>
      </c>
      <c r="J689" t="s">
        <v>2786</v>
      </c>
      <c r="K689">
        <v>5210</v>
      </c>
      <c r="L689">
        <v>4565</v>
      </c>
      <c r="M689">
        <v>-12.38</v>
      </c>
      <c r="N689">
        <v>1.9</v>
      </c>
      <c r="O689">
        <v>0.22</v>
      </c>
      <c r="P689">
        <v>-1.06</v>
      </c>
      <c r="Q689">
        <v>-4.57</v>
      </c>
      <c r="R689">
        <v>-1.91</v>
      </c>
      <c r="S689">
        <v>-4.41</v>
      </c>
      <c r="T689">
        <v>1.27</v>
      </c>
      <c r="U689">
        <v>0.87</v>
      </c>
      <c r="V689">
        <v>0.78</v>
      </c>
      <c r="W689">
        <v>2.23</v>
      </c>
      <c r="X689">
        <v>0.43</v>
      </c>
      <c r="Y689">
        <v>0.98</v>
      </c>
      <c r="Z689">
        <v>1.5</v>
      </c>
      <c r="AA689">
        <v>0.25</v>
      </c>
      <c r="AB689">
        <v>1.36</v>
      </c>
      <c r="AC689">
        <v>2.0499999999999998</v>
      </c>
      <c r="AD689">
        <v>4.4400000000000004</v>
      </c>
      <c r="AE689">
        <v>4.5</v>
      </c>
      <c r="AF689">
        <v>2.35</v>
      </c>
      <c r="AG689" t="str">
        <f>HYPERLINK("https://finance.naver.com/item/fchart.naver?code=017480", "삼현철강 차트보기")</f>
        <v>삼현철강 차트보기</v>
      </c>
    </row>
    <row r="690" spans="1:33" x14ac:dyDescent="0.3">
      <c r="A690" t="s">
        <v>2787</v>
      </c>
      <c r="B690" t="s">
        <v>55</v>
      </c>
      <c r="C690" t="s">
        <v>2788</v>
      </c>
      <c r="D690">
        <v>370565</v>
      </c>
      <c r="E690" t="s">
        <v>2789</v>
      </c>
      <c r="F690">
        <v>0</v>
      </c>
      <c r="G690">
        <v>1.309999942779541</v>
      </c>
      <c r="H690">
        <v>0</v>
      </c>
      <c r="I690">
        <v>0</v>
      </c>
      <c r="J690" t="s">
        <v>2790</v>
      </c>
      <c r="K690">
        <v>7600</v>
      </c>
      <c r="L690">
        <v>4215</v>
      </c>
      <c r="M690">
        <v>-44.54</v>
      </c>
      <c r="N690">
        <v>-10.6</v>
      </c>
      <c r="O690">
        <v>3.62</v>
      </c>
      <c r="P690">
        <v>-6.86</v>
      </c>
      <c r="Q690">
        <v>5.12</v>
      </c>
      <c r="R690">
        <v>-4.09</v>
      </c>
      <c r="S690">
        <v>-28.53</v>
      </c>
      <c r="T690">
        <v>2.57</v>
      </c>
      <c r="U690">
        <v>4.84</v>
      </c>
      <c r="V690">
        <v>2.76</v>
      </c>
      <c r="W690">
        <v>3.54</v>
      </c>
      <c r="X690">
        <v>3.73</v>
      </c>
      <c r="Y690">
        <v>6.79</v>
      </c>
      <c r="Z690">
        <v>4.12</v>
      </c>
      <c r="AA690">
        <v>0.75</v>
      </c>
      <c r="AB690">
        <v>2.4900000000000002</v>
      </c>
      <c r="AC690">
        <v>1.45</v>
      </c>
      <c r="AD690">
        <v>1.1000000000000001</v>
      </c>
      <c r="AE690">
        <v>4.2</v>
      </c>
      <c r="AF690">
        <v>2.351666666666667</v>
      </c>
      <c r="AG690" t="str">
        <f>HYPERLINK("https://finance.naver.com/item/fchart.naver?code=092040", "아미코젠 차트보기")</f>
        <v>아미코젠 차트보기</v>
      </c>
    </row>
    <row r="691" spans="1:33" x14ac:dyDescent="0.3">
      <c r="A691" t="s">
        <v>2791</v>
      </c>
      <c r="B691" t="s">
        <v>55</v>
      </c>
      <c r="C691" t="s">
        <v>2792</v>
      </c>
      <c r="D691">
        <v>108305.29</v>
      </c>
      <c r="E691" t="s">
        <v>2793</v>
      </c>
      <c r="F691">
        <v>5.61</v>
      </c>
      <c r="G691">
        <v>1.2599999904632571</v>
      </c>
      <c r="H691">
        <v>3261</v>
      </c>
      <c r="I691">
        <v>0.33000001311302191</v>
      </c>
      <c r="J691" t="s">
        <v>2794</v>
      </c>
      <c r="K691">
        <v>23650</v>
      </c>
      <c r="L691">
        <v>18290</v>
      </c>
      <c r="M691">
        <v>-22.66</v>
      </c>
      <c r="N691">
        <v>-2.82</v>
      </c>
      <c r="O691">
        <v>-3.38</v>
      </c>
      <c r="P691">
        <v>-12.89</v>
      </c>
      <c r="Q691">
        <v>2.6</v>
      </c>
      <c r="R691">
        <v>4.6900000000000004</v>
      </c>
      <c r="S691">
        <v>5.3</v>
      </c>
      <c r="T691">
        <v>3.09</v>
      </c>
      <c r="U691">
        <v>1.75</v>
      </c>
      <c r="V691">
        <v>2.5099999999999998</v>
      </c>
      <c r="W691">
        <v>5.01</v>
      </c>
      <c r="X691">
        <v>2.41</v>
      </c>
      <c r="Y691">
        <v>1.45</v>
      </c>
      <c r="Z691">
        <v>0.91</v>
      </c>
      <c r="AA691">
        <v>1.93</v>
      </c>
      <c r="AB691">
        <v>5.14</v>
      </c>
      <c r="AC691">
        <v>0.52</v>
      </c>
      <c r="AD691">
        <v>1.95</v>
      </c>
      <c r="AE691">
        <v>3.66</v>
      </c>
      <c r="AF691">
        <v>2.351666666666667</v>
      </c>
      <c r="AG691" t="str">
        <f>HYPERLINK("https://finance.naver.com/item/fchart.naver?code=101160", "월덱스 차트보기")</f>
        <v>월덱스 차트보기</v>
      </c>
    </row>
    <row r="692" spans="1:33" x14ac:dyDescent="0.3">
      <c r="A692" t="s">
        <v>2795</v>
      </c>
      <c r="B692" t="s">
        <v>55</v>
      </c>
      <c r="C692" t="s">
        <v>2796</v>
      </c>
      <c r="D692">
        <v>173869.05</v>
      </c>
      <c r="E692" t="s">
        <v>2797</v>
      </c>
      <c r="F692">
        <v>0</v>
      </c>
      <c r="G692">
        <v>59.080001831054688</v>
      </c>
      <c r="H692">
        <v>0</v>
      </c>
      <c r="I692">
        <v>0</v>
      </c>
      <c r="J692" t="s">
        <v>2798</v>
      </c>
      <c r="K692">
        <v>33200</v>
      </c>
      <c r="L692">
        <v>36100</v>
      </c>
      <c r="M692">
        <v>8.73</v>
      </c>
      <c r="N692">
        <v>19.54</v>
      </c>
      <c r="O692">
        <v>-15.09</v>
      </c>
      <c r="P692">
        <v>9.74</v>
      </c>
      <c r="Q692">
        <v>-15.08</v>
      </c>
      <c r="R692">
        <v>-8.08</v>
      </c>
      <c r="S692">
        <v>5.54</v>
      </c>
      <c r="T692">
        <v>4.43</v>
      </c>
      <c r="U692">
        <v>4.1399999999999997</v>
      </c>
      <c r="V692">
        <v>6.79</v>
      </c>
      <c r="W692">
        <v>7.02</v>
      </c>
      <c r="X692">
        <v>4.55</v>
      </c>
      <c r="Y692">
        <v>7.82</v>
      </c>
      <c r="Z692">
        <v>4.41</v>
      </c>
      <c r="AA692">
        <v>3.64</v>
      </c>
      <c r="AB692">
        <v>1.43</v>
      </c>
      <c r="AC692">
        <v>2.15</v>
      </c>
      <c r="AD692">
        <v>1.78</v>
      </c>
      <c r="AE692">
        <v>0.71</v>
      </c>
      <c r="AF692">
        <v>2.3533333333333331</v>
      </c>
      <c r="AG692" t="str">
        <f>HYPERLINK("https://finance.naver.com/item/fchart.naver?code=304360", "에스바이오메딕스 차트보기")</f>
        <v>에스바이오메딕스 차트보기</v>
      </c>
    </row>
    <row r="693" spans="1:33" x14ac:dyDescent="0.3">
      <c r="A693" t="s">
        <v>2799</v>
      </c>
      <c r="B693" t="s">
        <v>55</v>
      </c>
      <c r="C693" t="s">
        <v>2800</v>
      </c>
      <c r="D693">
        <v>24032.71</v>
      </c>
      <c r="E693" t="s">
        <v>2801</v>
      </c>
      <c r="F693">
        <v>0</v>
      </c>
      <c r="G693">
        <v>0</v>
      </c>
      <c r="H693">
        <v>0</v>
      </c>
      <c r="I693">
        <v>0</v>
      </c>
      <c r="J693" t="s">
        <v>2802</v>
      </c>
      <c r="K693">
        <v>2055</v>
      </c>
      <c r="L693">
        <v>2020</v>
      </c>
      <c r="M693">
        <v>-1.7</v>
      </c>
      <c r="N693">
        <v>0</v>
      </c>
      <c r="O693">
        <v>0</v>
      </c>
      <c r="P693">
        <v>-0.98</v>
      </c>
      <c r="Q693">
        <v>-1.46</v>
      </c>
      <c r="R693">
        <v>2.23</v>
      </c>
      <c r="S693">
        <v>-0.74</v>
      </c>
      <c r="T693">
        <v>0.14000000000000001</v>
      </c>
      <c r="U693">
        <v>0.25</v>
      </c>
      <c r="V693">
        <v>0.36</v>
      </c>
      <c r="W693">
        <v>0.38</v>
      </c>
      <c r="X693">
        <v>0.4</v>
      </c>
      <c r="Y693">
        <v>0.37</v>
      </c>
      <c r="Z693">
        <v>0</v>
      </c>
      <c r="AA693">
        <v>0</v>
      </c>
      <c r="AB693">
        <v>2.72</v>
      </c>
      <c r="AC693">
        <v>3.84</v>
      </c>
      <c r="AD693">
        <v>5.57</v>
      </c>
      <c r="AE693">
        <v>2</v>
      </c>
      <c r="AF693">
        <v>2.355</v>
      </c>
      <c r="AG693" t="str">
        <f>HYPERLINK("https://finance.naver.com/item/fchart.naver?code=449020", "유안타제13호스팩 차트보기")</f>
        <v>유안타제13호스팩 차트보기</v>
      </c>
    </row>
    <row r="694" spans="1:33" x14ac:dyDescent="0.3">
      <c r="A694" t="s">
        <v>2803</v>
      </c>
      <c r="B694" t="s">
        <v>34</v>
      </c>
      <c r="C694" t="s">
        <v>2804</v>
      </c>
      <c r="D694">
        <v>29404</v>
      </c>
      <c r="E694" t="s">
        <v>2805</v>
      </c>
      <c r="F694">
        <v>3.74</v>
      </c>
      <c r="G694">
        <v>0.38999998569488531</v>
      </c>
      <c r="H694">
        <v>5338</v>
      </c>
      <c r="I694">
        <v>7.5199999809265137</v>
      </c>
      <c r="J694" t="s">
        <v>2806</v>
      </c>
      <c r="K694">
        <v>26950</v>
      </c>
      <c r="L694">
        <v>19940</v>
      </c>
      <c r="M694">
        <v>-26.01</v>
      </c>
      <c r="N694">
        <v>-1.04</v>
      </c>
      <c r="O694">
        <v>-10.02</v>
      </c>
      <c r="P694">
        <v>-4.2699999999999996</v>
      </c>
      <c r="Q694">
        <v>-0.41</v>
      </c>
      <c r="R694">
        <v>-1.01</v>
      </c>
      <c r="S694">
        <v>-5.49</v>
      </c>
      <c r="T694">
        <v>1.51</v>
      </c>
      <c r="U694">
        <v>1.4</v>
      </c>
      <c r="V694">
        <v>2</v>
      </c>
      <c r="W694">
        <v>3.82</v>
      </c>
      <c r="X694">
        <v>1.78</v>
      </c>
      <c r="Y694">
        <v>1.58</v>
      </c>
      <c r="Z694">
        <v>0.69</v>
      </c>
      <c r="AA694">
        <v>7.16</v>
      </c>
      <c r="AB694">
        <v>2.13</v>
      </c>
      <c r="AC694">
        <v>0.11</v>
      </c>
      <c r="AD694">
        <v>0.56999999999999995</v>
      </c>
      <c r="AE694">
        <v>3.47</v>
      </c>
      <c r="AF694">
        <v>2.355</v>
      </c>
      <c r="AG694" t="str">
        <f>HYPERLINK("https://finance.naver.com/item/fchart.naver?code=010780", "아이에스동서 차트보기")</f>
        <v>아이에스동서 차트보기</v>
      </c>
    </row>
    <row r="695" spans="1:33" x14ac:dyDescent="0.3">
      <c r="A695" t="s">
        <v>2807</v>
      </c>
      <c r="B695" t="s">
        <v>55</v>
      </c>
      <c r="C695" t="s">
        <v>2808</v>
      </c>
      <c r="D695">
        <v>4445288.29</v>
      </c>
      <c r="E695" t="s">
        <v>2809</v>
      </c>
      <c r="F695">
        <v>0</v>
      </c>
      <c r="G695">
        <v>0.82999998331069946</v>
      </c>
      <c r="H695">
        <v>0</v>
      </c>
      <c r="I695">
        <v>0</v>
      </c>
      <c r="J695" t="s">
        <v>2810</v>
      </c>
      <c r="K695">
        <v>739</v>
      </c>
      <c r="L695">
        <v>830</v>
      </c>
      <c r="M695">
        <v>12.31</v>
      </c>
      <c r="N695">
        <v>15.12</v>
      </c>
      <c r="O695">
        <v>-1.96</v>
      </c>
      <c r="P695">
        <v>4.3</v>
      </c>
      <c r="Q695">
        <v>-10.029999999999999</v>
      </c>
      <c r="R695">
        <v>6.69</v>
      </c>
      <c r="S695">
        <v>-6.97</v>
      </c>
      <c r="T695">
        <v>4.91</v>
      </c>
      <c r="U695">
        <v>3.29</v>
      </c>
      <c r="V695">
        <v>1.73</v>
      </c>
      <c r="W695">
        <v>3.93</v>
      </c>
      <c r="X695">
        <v>5.29</v>
      </c>
      <c r="Y695">
        <v>1.68</v>
      </c>
      <c r="Z695">
        <v>3.08</v>
      </c>
      <c r="AA695">
        <v>0.6</v>
      </c>
      <c r="AB695">
        <v>2.4900000000000002</v>
      </c>
      <c r="AC695">
        <v>2.5499999999999998</v>
      </c>
      <c r="AD695">
        <v>1.26</v>
      </c>
      <c r="AE695">
        <v>4.1500000000000004</v>
      </c>
      <c r="AF695">
        <v>2.355</v>
      </c>
      <c r="AG695" t="str">
        <f>HYPERLINK("https://finance.naver.com/item/fchart.naver?code=036090", "위지트 차트보기")</f>
        <v>위지트 차트보기</v>
      </c>
    </row>
    <row r="696" spans="1:33" x14ac:dyDescent="0.3">
      <c r="A696" t="s">
        <v>2811</v>
      </c>
      <c r="B696" t="s">
        <v>34</v>
      </c>
      <c r="C696" t="s">
        <v>2812</v>
      </c>
      <c r="D696">
        <v>3506.52</v>
      </c>
      <c r="E696" t="s">
        <v>2813</v>
      </c>
      <c r="F696">
        <v>9.19</v>
      </c>
      <c r="G696">
        <v>0.36000001430511469</v>
      </c>
      <c r="H696">
        <v>948</v>
      </c>
      <c r="I696">
        <v>4.0199999809265137</v>
      </c>
      <c r="J696" t="s">
        <v>2814</v>
      </c>
      <c r="K696">
        <v>10000</v>
      </c>
      <c r="L696">
        <v>8710</v>
      </c>
      <c r="M696">
        <v>-12.9</v>
      </c>
      <c r="N696">
        <v>-0.56999999999999995</v>
      </c>
      <c r="O696">
        <v>0.57999999999999996</v>
      </c>
      <c r="P696">
        <v>-2.67</v>
      </c>
      <c r="Q696">
        <v>-4.09</v>
      </c>
      <c r="R696">
        <v>-7.92</v>
      </c>
      <c r="S696">
        <v>-0.1</v>
      </c>
      <c r="T696">
        <v>0.88</v>
      </c>
      <c r="U696">
        <v>0.57999999999999996</v>
      </c>
      <c r="V696">
        <v>1.04</v>
      </c>
      <c r="W696">
        <v>2.15</v>
      </c>
      <c r="X696">
        <v>1</v>
      </c>
      <c r="Y696">
        <v>1.01</v>
      </c>
      <c r="Z696">
        <v>0.65</v>
      </c>
      <c r="AA696">
        <v>1</v>
      </c>
      <c r="AB696">
        <v>2.57</v>
      </c>
      <c r="AC696">
        <v>1.9</v>
      </c>
      <c r="AD696">
        <v>7.92</v>
      </c>
      <c r="AE696">
        <v>0.1</v>
      </c>
      <c r="AF696">
        <v>2.356666666666666</v>
      </c>
      <c r="AG696" t="str">
        <f>HYPERLINK("https://finance.naver.com/item/fchart.naver?code=044820", "코스맥스비티아이 차트보기")</f>
        <v>코스맥스비티아이 차트보기</v>
      </c>
    </row>
    <row r="697" spans="1:33" x14ac:dyDescent="0.3">
      <c r="A697" t="s">
        <v>2815</v>
      </c>
      <c r="B697" t="s">
        <v>55</v>
      </c>
      <c r="C697" t="s">
        <v>2816</v>
      </c>
      <c r="D697">
        <v>118903.24</v>
      </c>
      <c r="E697" t="s">
        <v>2817</v>
      </c>
      <c r="F697">
        <v>41.63</v>
      </c>
      <c r="G697">
        <v>2.089999914169312</v>
      </c>
      <c r="H697">
        <v>496</v>
      </c>
      <c r="I697">
        <v>0.97000002861022949</v>
      </c>
      <c r="J697" t="s">
        <v>2818</v>
      </c>
      <c r="K697">
        <v>28150</v>
      </c>
      <c r="L697">
        <v>20650</v>
      </c>
      <c r="M697">
        <v>-26.64</v>
      </c>
      <c r="N697">
        <v>0.73</v>
      </c>
      <c r="O697">
        <v>-9.15</v>
      </c>
      <c r="P697">
        <v>-10.43</v>
      </c>
      <c r="Q697">
        <v>9.1300000000000008</v>
      </c>
      <c r="R697">
        <v>-5.99</v>
      </c>
      <c r="S697">
        <v>-3.86</v>
      </c>
      <c r="T697">
        <v>3.2</v>
      </c>
      <c r="U697">
        <v>2.2999999999999998</v>
      </c>
      <c r="V697">
        <v>2.85</v>
      </c>
      <c r="W697">
        <v>4.84</v>
      </c>
      <c r="X697">
        <v>3.03</v>
      </c>
      <c r="Y697">
        <v>1.61</v>
      </c>
      <c r="Z697">
        <v>0.23</v>
      </c>
      <c r="AA697">
        <v>3.98</v>
      </c>
      <c r="AB697">
        <v>3.66</v>
      </c>
      <c r="AC697">
        <v>1.89</v>
      </c>
      <c r="AD697">
        <v>1.98</v>
      </c>
      <c r="AE697">
        <v>2.4</v>
      </c>
      <c r="AF697">
        <v>2.3566666666666669</v>
      </c>
      <c r="AG697" t="str">
        <f>HYPERLINK("https://finance.naver.com/item/fchart.naver?code=058610", "에스피지 차트보기")</f>
        <v>에스피지 차트보기</v>
      </c>
    </row>
    <row r="698" spans="1:33" x14ac:dyDescent="0.3">
      <c r="A698" t="s">
        <v>2819</v>
      </c>
      <c r="B698" t="s">
        <v>34</v>
      </c>
      <c r="C698" t="s">
        <v>2820</v>
      </c>
      <c r="D698">
        <v>69052.100000000006</v>
      </c>
      <c r="E698" t="s">
        <v>2821</v>
      </c>
      <c r="F698">
        <v>17.72</v>
      </c>
      <c r="G698">
        <v>0.77999997138977051</v>
      </c>
      <c r="H698">
        <v>742</v>
      </c>
      <c r="I698">
        <v>3.7999999523162842</v>
      </c>
      <c r="J698" t="s">
        <v>2822</v>
      </c>
      <c r="K698">
        <v>12630</v>
      </c>
      <c r="L698">
        <v>13150</v>
      </c>
      <c r="M698">
        <v>4.12</v>
      </c>
      <c r="N698">
        <v>0.84</v>
      </c>
      <c r="O698">
        <v>7.78</v>
      </c>
      <c r="P698">
        <v>-6.13</v>
      </c>
      <c r="Q698">
        <v>-4.8899999999999997</v>
      </c>
      <c r="R698">
        <v>5.38</v>
      </c>
      <c r="S698">
        <v>-2.12</v>
      </c>
      <c r="T698">
        <v>0.57999999999999996</v>
      </c>
      <c r="U698">
        <v>1.92</v>
      </c>
      <c r="V698">
        <v>1.52</v>
      </c>
      <c r="W698">
        <v>3.73</v>
      </c>
      <c r="X698">
        <v>2.0499999999999998</v>
      </c>
      <c r="Y698">
        <v>3.13</v>
      </c>
      <c r="Z698">
        <v>1.45</v>
      </c>
      <c r="AA698">
        <v>4.05</v>
      </c>
      <c r="AB698">
        <v>4.03</v>
      </c>
      <c r="AC698">
        <v>1.31</v>
      </c>
      <c r="AD698">
        <v>2.62</v>
      </c>
      <c r="AE698">
        <v>0.68</v>
      </c>
      <c r="AF698">
        <v>2.3566666666666669</v>
      </c>
      <c r="AG698" t="str">
        <f>HYPERLINK("https://finance.naver.com/item/fchart.naver?code=028100", "동아지질 차트보기")</f>
        <v>동아지질 차트보기</v>
      </c>
    </row>
    <row r="699" spans="1:33" x14ac:dyDescent="0.3">
      <c r="A699" t="s">
        <v>2823</v>
      </c>
      <c r="B699" t="s">
        <v>55</v>
      </c>
      <c r="C699" t="s">
        <v>2824</v>
      </c>
      <c r="D699">
        <v>5768.67</v>
      </c>
      <c r="E699" t="s">
        <v>2825</v>
      </c>
      <c r="F699">
        <v>0</v>
      </c>
      <c r="G699">
        <v>4.7600002288818359</v>
      </c>
      <c r="H699">
        <v>0</v>
      </c>
      <c r="I699">
        <v>0</v>
      </c>
      <c r="J699" t="s">
        <v>2826</v>
      </c>
      <c r="K699">
        <v>13950</v>
      </c>
      <c r="L699">
        <v>10010</v>
      </c>
      <c r="M699">
        <v>-28.24</v>
      </c>
      <c r="N699">
        <v>-1.77</v>
      </c>
      <c r="O699">
        <v>-1.73</v>
      </c>
      <c r="P699">
        <v>0.96</v>
      </c>
      <c r="Q699">
        <v>-32.71</v>
      </c>
      <c r="R699">
        <v>2.56</v>
      </c>
      <c r="S699">
        <v>-18.739999999999998</v>
      </c>
      <c r="T699">
        <v>1.73</v>
      </c>
      <c r="U699">
        <v>1.4</v>
      </c>
      <c r="V699">
        <v>2.0499999999999998</v>
      </c>
      <c r="W699">
        <v>8.85</v>
      </c>
      <c r="X699">
        <v>7.7</v>
      </c>
      <c r="Y699">
        <v>2.54</v>
      </c>
      <c r="Z699">
        <v>1.02</v>
      </c>
      <c r="AA699">
        <v>1.24</v>
      </c>
      <c r="AB699">
        <v>0.47</v>
      </c>
      <c r="AC699">
        <v>3.7</v>
      </c>
      <c r="AD699">
        <v>0.33</v>
      </c>
      <c r="AE699">
        <v>7.38</v>
      </c>
      <c r="AF699">
        <v>2.3566666666666669</v>
      </c>
      <c r="AG699" t="str">
        <f>HYPERLINK("https://finance.naver.com/item/fchart.naver?code=417860", "오브젠 차트보기")</f>
        <v>오브젠 차트보기</v>
      </c>
    </row>
    <row r="700" spans="1:33" x14ac:dyDescent="0.3">
      <c r="A700" t="s">
        <v>2827</v>
      </c>
      <c r="B700" t="s">
        <v>34</v>
      </c>
      <c r="C700" t="s">
        <v>2828</v>
      </c>
      <c r="D700">
        <v>13982.29</v>
      </c>
      <c r="E700" t="s">
        <v>2829</v>
      </c>
      <c r="F700">
        <v>6.82</v>
      </c>
      <c r="G700">
        <v>0.41999998688697809</v>
      </c>
      <c r="H700">
        <v>1270</v>
      </c>
      <c r="I700">
        <v>5.1999998092651367</v>
      </c>
      <c r="J700" t="s">
        <v>2830</v>
      </c>
      <c r="K700">
        <v>8360</v>
      </c>
      <c r="L700">
        <v>8660</v>
      </c>
      <c r="M700">
        <v>3.59</v>
      </c>
      <c r="N700">
        <v>0.23</v>
      </c>
      <c r="O700">
        <v>-0.46</v>
      </c>
      <c r="P700">
        <v>1.87</v>
      </c>
      <c r="Q700">
        <v>-1.72</v>
      </c>
      <c r="R700">
        <v>-2.71</v>
      </c>
      <c r="S700">
        <v>3.26</v>
      </c>
      <c r="T700">
        <v>0.39</v>
      </c>
      <c r="U700">
        <v>0.5</v>
      </c>
      <c r="V700">
        <v>0.61</v>
      </c>
      <c r="W700">
        <v>1.53</v>
      </c>
      <c r="X700">
        <v>0.56000000000000005</v>
      </c>
      <c r="Y700">
        <v>0.9</v>
      </c>
      <c r="Z700">
        <v>0.59</v>
      </c>
      <c r="AA700">
        <v>0.92</v>
      </c>
      <c r="AB700">
        <v>3.07</v>
      </c>
      <c r="AC700">
        <v>1.1200000000000001</v>
      </c>
      <c r="AD700">
        <v>4.84</v>
      </c>
      <c r="AE700">
        <v>3.62</v>
      </c>
      <c r="AF700">
        <v>2.36</v>
      </c>
      <c r="AG700" t="str">
        <f>HYPERLINK("https://finance.naver.com/item/fchart.naver?code=009680", "모토닉 차트보기")</f>
        <v>모토닉 차트보기</v>
      </c>
    </row>
    <row r="701" spans="1:33" x14ac:dyDescent="0.3">
      <c r="A701" t="s">
        <v>2831</v>
      </c>
      <c r="B701" t="s">
        <v>34</v>
      </c>
      <c r="C701" t="s">
        <v>2832</v>
      </c>
      <c r="D701">
        <v>1609.95</v>
      </c>
      <c r="E701" t="s">
        <v>2833</v>
      </c>
      <c r="F701">
        <v>0</v>
      </c>
      <c r="G701">
        <v>0</v>
      </c>
      <c r="H701">
        <v>0</v>
      </c>
      <c r="I701">
        <v>7.940000057220459</v>
      </c>
      <c r="J701" t="s">
        <v>2834</v>
      </c>
      <c r="K701">
        <v>23100</v>
      </c>
      <c r="L701">
        <v>22050</v>
      </c>
      <c r="M701">
        <v>-4.55</v>
      </c>
      <c r="N701">
        <v>-3.29</v>
      </c>
      <c r="O701">
        <v>-1.3</v>
      </c>
      <c r="P701">
        <v>-1.7</v>
      </c>
      <c r="Q701">
        <v>-4.43</v>
      </c>
      <c r="R701">
        <v>6.52</v>
      </c>
      <c r="S701">
        <v>2.2200000000000002</v>
      </c>
      <c r="T701">
        <v>1.1299999999999999</v>
      </c>
      <c r="U701">
        <v>1.23</v>
      </c>
      <c r="V701">
        <v>1.26</v>
      </c>
      <c r="W701">
        <v>2.75</v>
      </c>
      <c r="X701">
        <v>1.42</v>
      </c>
      <c r="Y701">
        <v>0.84</v>
      </c>
      <c r="Z701">
        <v>2.91</v>
      </c>
      <c r="AA701">
        <v>1.06</v>
      </c>
      <c r="AB701">
        <v>1.35</v>
      </c>
      <c r="AC701">
        <v>1.61</v>
      </c>
      <c r="AD701">
        <v>4.59</v>
      </c>
      <c r="AE701">
        <v>2.64</v>
      </c>
      <c r="AF701">
        <v>2.36</v>
      </c>
      <c r="AG701" t="str">
        <f>HYPERLINK("https://finance.naver.com/item/fchart.naver?code=108675", "LX하우시스우 차트보기")</f>
        <v>LX하우시스우 차트보기</v>
      </c>
    </row>
    <row r="702" spans="1:33" x14ac:dyDescent="0.3">
      <c r="A702" t="s">
        <v>2835</v>
      </c>
      <c r="B702" t="s">
        <v>55</v>
      </c>
      <c r="C702" t="s">
        <v>2836</v>
      </c>
      <c r="D702">
        <v>262150.90000000002</v>
      </c>
      <c r="E702" t="s">
        <v>2837</v>
      </c>
      <c r="F702">
        <v>3.75</v>
      </c>
      <c r="G702">
        <v>0.62999999523162842</v>
      </c>
      <c r="H702">
        <v>915</v>
      </c>
      <c r="I702">
        <v>0</v>
      </c>
      <c r="J702" t="s">
        <v>2838</v>
      </c>
      <c r="K702">
        <v>6300</v>
      </c>
      <c r="L702">
        <v>3430</v>
      </c>
      <c r="M702">
        <v>-45.56</v>
      </c>
      <c r="N702">
        <v>-4.0599999999999996</v>
      </c>
      <c r="O702">
        <v>3.23</v>
      </c>
      <c r="P702">
        <v>-0.83</v>
      </c>
      <c r="Q702">
        <v>-22.09</v>
      </c>
      <c r="R702">
        <v>-13.14</v>
      </c>
      <c r="S702">
        <v>-8.35</v>
      </c>
      <c r="T702">
        <v>1.97</v>
      </c>
      <c r="U702">
        <v>4.32</v>
      </c>
      <c r="V702">
        <v>1.78</v>
      </c>
      <c r="W702">
        <v>6.31</v>
      </c>
      <c r="X702">
        <v>2.7</v>
      </c>
      <c r="Y702">
        <v>3.31</v>
      </c>
      <c r="Z702">
        <v>2.06</v>
      </c>
      <c r="AA702">
        <v>0.75</v>
      </c>
      <c r="AB702">
        <v>0.47</v>
      </c>
      <c r="AC702">
        <v>3.5</v>
      </c>
      <c r="AD702">
        <v>4.87</v>
      </c>
      <c r="AE702">
        <v>2.52</v>
      </c>
      <c r="AF702">
        <v>2.3616666666666668</v>
      </c>
      <c r="AG702" t="str">
        <f>HYPERLINK("https://finance.naver.com/item/fchart.naver?code=038460", "바이오스마트 차트보기")</f>
        <v>바이오스마트 차트보기</v>
      </c>
    </row>
    <row r="703" spans="1:33" x14ac:dyDescent="0.3">
      <c r="A703" t="s">
        <v>2839</v>
      </c>
      <c r="B703" t="s">
        <v>55</v>
      </c>
      <c r="C703" t="s">
        <v>2840</v>
      </c>
      <c r="D703">
        <v>23478.05</v>
      </c>
      <c r="E703" t="s">
        <v>2841</v>
      </c>
      <c r="F703">
        <v>0</v>
      </c>
      <c r="G703">
        <v>0.5</v>
      </c>
      <c r="H703">
        <v>0</v>
      </c>
      <c r="I703">
        <v>0</v>
      </c>
      <c r="J703" t="s">
        <v>2842</v>
      </c>
      <c r="K703">
        <v>1036</v>
      </c>
      <c r="L703">
        <v>793</v>
      </c>
      <c r="M703">
        <v>-23.46</v>
      </c>
      <c r="N703">
        <v>-2.82</v>
      </c>
      <c r="O703">
        <v>-5.73</v>
      </c>
      <c r="P703">
        <v>0.59</v>
      </c>
      <c r="Q703">
        <v>-8.57</v>
      </c>
      <c r="R703">
        <v>-7.14</v>
      </c>
      <c r="S703">
        <v>-2.17</v>
      </c>
      <c r="T703">
        <v>1.74</v>
      </c>
      <c r="U703">
        <v>1.57</v>
      </c>
      <c r="V703">
        <v>2.71</v>
      </c>
      <c r="W703">
        <v>2.91</v>
      </c>
      <c r="X703">
        <v>1.47</v>
      </c>
      <c r="Y703">
        <v>2.48</v>
      </c>
      <c r="Z703">
        <v>1.62</v>
      </c>
      <c r="AA703">
        <v>3.65</v>
      </c>
      <c r="AB703">
        <v>0.22</v>
      </c>
      <c r="AC703">
        <v>2.95</v>
      </c>
      <c r="AD703">
        <v>4.8600000000000003</v>
      </c>
      <c r="AE703">
        <v>0.88</v>
      </c>
      <c r="AF703">
        <v>2.3633333333333342</v>
      </c>
      <c r="AG703" t="str">
        <f>HYPERLINK("https://finance.naver.com/item/fchart.naver?code=079950", "인베니아 차트보기")</f>
        <v>인베니아 차트보기</v>
      </c>
    </row>
    <row r="704" spans="1:33" x14ac:dyDescent="0.3">
      <c r="A704" t="s">
        <v>2843</v>
      </c>
      <c r="B704" t="s">
        <v>34</v>
      </c>
      <c r="C704" t="s">
        <v>2844</v>
      </c>
      <c r="D704">
        <v>5214.1000000000004</v>
      </c>
      <c r="E704" t="s">
        <v>2845</v>
      </c>
      <c r="F704">
        <v>0</v>
      </c>
      <c r="G704">
        <v>0.62000000476837158</v>
      </c>
      <c r="H704">
        <v>0</v>
      </c>
      <c r="I704">
        <v>0</v>
      </c>
      <c r="J704" t="s">
        <v>2846</v>
      </c>
      <c r="K704">
        <v>6500</v>
      </c>
      <c r="L704">
        <v>5700</v>
      </c>
      <c r="M704">
        <v>-12.31</v>
      </c>
      <c r="N704">
        <v>1.6</v>
      </c>
      <c r="O704">
        <v>-3.24</v>
      </c>
      <c r="P704">
        <v>-2.2999999999999998</v>
      </c>
      <c r="Q704">
        <v>-3.91</v>
      </c>
      <c r="R704">
        <v>-4.03</v>
      </c>
      <c r="S704">
        <v>-3.84</v>
      </c>
      <c r="T704">
        <v>0.83</v>
      </c>
      <c r="U704">
        <v>0.69</v>
      </c>
      <c r="V704">
        <v>1.01</v>
      </c>
      <c r="W704">
        <v>2.11</v>
      </c>
      <c r="X704">
        <v>1.95</v>
      </c>
      <c r="Y704">
        <v>2.83</v>
      </c>
      <c r="Z704">
        <v>1.93</v>
      </c>
      <c r="AA704">
        <v>4.7</v>
      </c>
      <c r="AB704">
        <v>2.2799999999999998</v>
      </c>
      <c r="AC704">
        <v>1.85</v>
      </c>
      <c r="AD704">
        <v>2.0699999999999998</v>
      </c>
      <c r="AE704">
        <v>1.36</v>
      </c>
      <c r="AF704">
        <v>2.3650000000000002</v>
      </c>
      <c r="AG704" t="str">
        <f>HYPERLINK("https://finance.naver.com/item/fchart.naver?code=030720", "동원수산 차트보기")</f>
        <v>동원수산 차트보기</v>
      </c>
    </row>
    <row r="705" spans="1:33" x14ac:dyDescent="0.3">
      <c r="A705" t="s">
        <v>2847</v>
      </c>
      <c r="B705" t="s">
        <v>34</v>
      </c>
      <c r="C705" t="s">
        <v>2848</v>
      </c>
      <c r="D705">
        <v>5175.29</v>
      </c>
      <c r="E705" t="s">
        <v>2849</v>
      </c>
      <c r="F705">
        <v>0</v>
      </c>
      <c r="G705">
        <v>0</v>
      </c>
      <c r="H705">
        <v>0</v>
      </c>
      <c r="I705">
        <v>1.299999952316284</v>
      </c>
      <c r="J705" t="s">
        <v>2850</v>
      </c>
      <c r="K705">
        <v>49750</v>
      </c>
      <c r="L705">
        <v>49950</v>
      </c>
      <c r="M705">
        <v>0.4</v>
      </c>
      <c r="N705">
        <v>0.71</v>
      </c>
      <c r="O705">
        <v>8.74</v>
      </c>
      <c r="P705">
        <v>-5.6</v>
      </c>
      <c r="Q705">
        <v>-2.75</v>
      </c>
      <c r="R705">
        <v>0.31</v>
      </c>
      <c r="S705">
        <v>-1.01</v>
      </c>
      <c r="T705">
        <v>4.54</v>
      </c>
      <c r="U705">
        <v>2.48</v>
      </c>
      <c r="V705">
        <v>0.85</v>
      </c>
      <c r="W705">
        <v>2.2999999999999998</v>
      </c>
      <c r="X705">
        <v>0.65</v>
      </c>
      <c r="Y705">
        <v>0.45</v>
      </c>
      <c r="Z705">
        <v>0.16</v>
      </c>
      <c r="AA705">
        <v>3.52</v>
      </c>
      <c r="AB705">
        <v>6.59</v>
      </c>
      <c r="AC705">
        <v>1.2</v>
      </c>
      <c r="AD705">
        <v>0.48</v>
      </c>
      <c r="AE705">
        <v>2.2400000000000002</v>
      </c>
      <c r="AF705">
        <v>2.3650000000000002</v>
      </c>
      <c r="AG705" t="str">
        <f>HYPERLINK("https://finance.naver.com/item/fchart.naver?code=000725", "현대건설우 차트보기")</f>
        <v>현대건설우 차트보기</v>
      </c>
    </row>
    <row r="706" spans="1:33" x14ac:dyDescent="0.3">
      <c r="A706" t="s">
        <v>2851</v>
      </c>
      <c r="B706" t="s">
        <v>55</v>
      </c>
      <c r="C706" t="s">
        <v>2852</v>
      </c>
      <c r="D706">
        <v>81411.100000000006</v>
      </c>
      <c r="E706" t="s">
        <v>2853</v>
      </c>
      <c r="F706">
        <v>19.62</v>
      </c>
      <c r="G706">
        <v>4.1599998474121094</v>
      </c>
      <c r="H706">
        <v>3399</v>
      </c>
      <c r="I706">
        <v>0.81999999284744263</v>
      </c>
      <c r="J706" t="s">
        <v>2854</v>
      </c>
      <c r="K706">
        <v>70800</v>
      </c>
      <c r="L706">
        <v>66700</v>
      </c>
      <c r="M706">
        <v>-5.79</v>
      </c>
      <c r="N706">
        <v>1.83</v>
      </c>
      <c r="O706">
        <v>-5.59</v>
      </c>
      <c r="P706">
        <v>4.84</v>
      </c>
      <c r="Q706">
        <v>10.46</v>
      </c>
      <c r="R706">
        <v>-8.2799999999999994</v>
      </c>
      <c r="S706">
        <v>16.670000000000002</v>
      </c>
      <c r="T706">
        <v>2.2799999999999998</v>
      </c>
      <c r="U706">
        <v>2.87</v>
      </c>
      <c r="V706">
        <v>2.67</v>
      </c>
      <c r="W706">
        <v>4.16</v>
      </c>
      <c r="X706">
        <v>2.41</v>
      </c>
      <c r="Y706">
        <v>4.5199999999999996</v>
      </c>
      <c r="Z706">
        <v>0.8</v>
      </c>
      <c r="AA706">
        <v>1.95</v>
      </c>
      <c r="AB706">
        <v>1.81</v>
      </c>
      <c r="AC706">
        <v>2.5099999999999998</v>
      </c>
      <c r="AD706">
        <v>3.44</v>
      </c>
      <c r="AE706">
        <v>3.69</v>
      </c>
      <c r="AF706">
        <v>2.3666666666666671</v>
      </c>
      <c r="AG706" t="str">
        <f>HYPERLINK("https://finance.naver.com/item/fchart.naver?code=340570", "티앤엘 차트보기")</f>
        <v>티앤엘 차트보기</v>
      </c>
    </row>
    <row r="707" spans="1:33" x14ac:dyDescent="0.3">
      <c r="A707" t="s">
        <v>2855</v>
      </c>
      <c r="B707" t="s">
        <v>34</v>
      </c>
      <c r="C707" t="s">
        <v>2856</v>
      </c>
      <c r="D707">
        <v>1483.14</v>
      </c>
      <c r="E707" t="s">
        <v>2857</v>
      </c>
      <c r="F707">
        <v>2.11</v>
      </c>
      <c r="G707">
        <v>0.2099999934434891</v>
      </c>
      <c r="H707">
        <v>60350</v>
      </c>
      <c r="I707">
        <v>1.970000028610229</v>
      </c>
      <c r="J707" t="s">
        <v>2858</v>
      </c>
      <c r="K707">
        <v>139600</v>
      </c>
      <c r="L707">
        <v>127100</v>
      </c>
      <c r="M707">
        <v>-8.9499999999999993</v>
      </c>
      <c r="N707">
        <v>-4.4400000000000004</v>
      </c>
      <c r="O707">
        <v>-4.1100000000000003</v>
      </c>
      <c r="P707">
        <v>-0.92</v>
      </c>
      <c r="Q707">
        <v>-0.28000000000000003</v>
      </c>
      <c r="R707">
        <v>0.28000000000000003</v>
      </c>
      <c r="S707">
        <v>3.06</v>
      </c>
      <c r="T707">
        <v>1.05</v>
      </c>
      <c r="U707">
        <v>0.7</v>
      </c>
      <c r="V707">
        <v>0.69</v>
      </c>
      <c r="W707">
        <v>1.76</v>
      </c>
      <c r="X707">
        <v>1.06</v>
      </c>
      <c r="Y707">
        <v>1.3</v>
      </c>
      <c r="Z707">
        <v>4.2300000000000004</v>
      </c>
      <c r="AA707">
        <v>5.87</v>
      </c>
      <c r="AB707">
        <v>1.33</v>
      </c>
      <c r="AC707">
        <v>0.16</v>
      </c>
      <c r="AD707">
        <v>0.26</v>
      </c>
      <c r="AE707">
        <v>2.35</v>
      </c>
      <c r="AF707">
        <v>2.3666666666666671</v>
      </c>
      <c r="AG707" t="str">
        <f>HYPERLINK("https://finance.naver.com/item/fchart.naver?code=001130", "대한제분 차트보기")</f>
        <v>대한제분 차트보기</v>
      </c>
    </row>
    <row r="708" spans="1:33" x14ac:dyDescent="0.3">
      <c r="A708" t="s">
        <v>2859</v>
      </c>
      <c r="B708" t="s">
        <v>55</v>
      </c>
      <c r="C708" t="s">
        <v>2860</v>
      </c>
      <c r="D708">
        <v>304865</v>
      </c>
      <c r="E708" t="s">
        <v>2861</v>
      </c>
      <c r="F708">
        <v>0</v>
      </c>
      <c r="G708">
        <v>0.75</v>
      </c>
      <c r="H708">
        <v>0</v>
      </c>
      <c r="I708">
        <v>0</v>
      </c>
      <c r="J708" t="s">
        <v>2862</v>
      </c>
      <c r="K708">
        <v>3590</v>
      </c>
      <c r="L708">
        <v>2055</v>
      </c>
      <c r="M708">
        <v>-42.76</v>
      </c>
      <c r="N708">
        <v>-1.91</v>
      </c>
      <c r="O708">
        <v>11.69</v>
      </c>
      <c r="P708">
        <v>19</v>
      </c>
      <c r="Q708">
        <v>-12.62</v>
      </c>
      <c r="R708">
        <v>-25.55</v>
      </c>
      <c r="S708">
        <v>3.28</v>
      </c>
      <c r="T708">
        <v>3.55</v>
      </c>
      <c r="U708">
        <v>5.67</v>
      </c>
      <c r="V708">
        <v>5.88</v>
      </c>
      <c r="W708">
        <v>6.07</v>
      </c>
      <c r="X708">
        <v>4.3</v>
      </c>
      <c r="Y708">
        <v>9.3800000000000008</v>
      </c>
      <c r="Z708">
        <v>0.54</v>
      </c>
      <c r="AA708">
        <v>2.06</v>
      </c>
      <c r="AB708">
        <v>3.23</v>
      </c>
      <c r="AC708">
        <v>2.08</v>
      </c>
      <c r="AD708">
        <v>5.94</v>
      </c>
      <c r="AE708">
        <v>0.35</v>
      </c>
      <c r="AF708">
        <v>2.3666666666666671</v>
      </c>
      <c r="AG708" t="str">
        <f>HYPERLINK("https://finance.naver.com/item/fchart.naver?code=065570", "삼영이엔씨 차트보기")</f>
        <v>삼영이엔씨 차트보기</v>
      </c>
    </row>
    <row r="709" spans="1:33" x14ac:dyDescent="0.3">
      <c r="A709" t="s">
        <v>2863</v>
      </c>
      <c r="B709" t="s">
        <v>34</v>
      </c>
      <c r="C709" t="s">
        <v>2864</v>
      </c>
      <c r="D709">
        <v>532.1</v>
      </c>
      <c r="E709" t="s">
        <v>2865</v>
      </c>
      <c r="F709">
        <v>0</v>
      </c>
      <c r="G709">
        <v>0.14000000059604639</v>
      </c>
      <c r="H709">
        <v>0</v>
      </c>
      <c r="I709">
        <v>0.27000001072883612</v>
      </c>
      <c r="J709" t="s">
        <v>2866</v>
      </c>
      <c r="K709">
        <v>653000</v>
      </c>
      <c r="L709">
        <v>641000</v>
      </c>
      <c r="M709">
        <v>-1.84</v>
      </c>
      <c r="N709">
        <v>-1.69</v>
      </c>
      <c r="O709">
        <v>0.77</v>
      </c>
      <c r="P709">
        <v>10.83</v>
      </c>
      <c r="Q709">
        <v>-4.07</v>
      </c>
      <c r="R709">
        <v>-2.73</v>
      </c>
      <c r="S709">
        <v>-4.43</v>
      </c>
      <c r="T709">
        <v>1.62</v>
      </c>
      <c r="U709">
        <v>1.18</v>
      </c>
      <c r="V709">
        <v>1.67</v>
      </c>
      <c r="W709">
        <v>2.64</v>
      </c>
      <c r="X709">
        <v>1.1399999999999999</v>
      </c>
      <c r="Y709">
        <v>2.12</v>
      </c>
      <c r="Z709">
        <v>1.04</v>
      </c>
      <c r="AA709">
        <v>0.65</v>
      </c>
      <c r="AB709">
        <v>6.49</v>
      </c>
      <c r="AC709">
        <v>1.54</v>
      </c>
      <c r="AD709">
        <v>2.39</v>
      </c>
      <c r="AE709">
        <v>2.09</v>
      </c>
      <c r="AF709">
        <v>2.3666666666666671</v>
      </c>
      <c r="AG709" t="str">
        <f>HYPERLINK("https://finance.naver.com/item/fchart.naver?code=003240", "태광산업 차트보기")</f>
        <v>태광산업 차트보기</v>
      </c>
    </row>
    <row r="710" spans="1:33" x14ac:dyDescent="0.3">
      <c r="A710" t="s">
        <v>2867</v>
      </c>
      <c r="B710" t="s">
        <v>55</v>
      </c>
      <c r="C710" t="s">
        <v>2868</v>
      </c>
      <c r="D710">
        <v>15952.76</v>
      </c>
      <c r="E710" t="s">
        <v>2869</v>
      </c>
      <c r="F710">
        <v>8.69</v>
      </c>
      <c r="G710">
        <v>0.89999997615814209</v>
      </c>
      <c r="H710">
        <v>543</v>
      </c>
      <c r="I710">
        <v>1.2699999809265139</v>
      </c>
      <c r="J710" t="s">
        <v>2870</v>
      </c>
      <c r="K710">
        <v>5790</v>
      </c>
      <c r="L710">
        <v>4720</v>
      </c>
      <c r="M710">
        <v>-18.48</v>
      </c>
      <c r="N710">
        <v>-1.87</v>
      </c>
      <c r="O710">
        <v>-1.1299999999999999</v>
      </c>
      <c r="P710">
        <v>-0.3</v>
      </c>
      <c r="Q710">
        <v>-4.83</v>
      </c>
      <c r="R710">
        <v>-1.86</v>
      </c>
      <c r="S710">
        <v>-5.24</v>
      </c>
      <c r="T710">
        <v>0.5</v>
      </c>
      <c r="U710">
        <v>0.84</v>
      </c>
      <c r="V710">
        <v>1.4</v>
      </c>
      <c r="W710">
        <v>3.79</v>
      </c>
      <c r="X710">
        <v>1.33</v>
      </c>
      <c r="Y710">
        <v>0.84</v>
      </c>
      <c r="Z710">
        <v>3.74</v>
      </c>
      <c r="AA710">
        <v>1.35</v>
      </c>
      <c r="AB710">
        <v>0.21</v>
      </c>
      <c r="AC710">
        <v>1.27</v>
      </c>
      <c r="AD710">
        <v>1.4</v>
      </c>
      <c r="AE710">
        <v>6.24</v>
      </c>
      <c r="AF710">
        <v>2.3683333333333341</v>
      </c>
      <c r="AG710" t="str">
        <f>HYPERLINK("https://finance.naver.com/item/fchart.naver?code=131220", "대한과학 차트보기")</f>
        <v>대한과학 차트보기</v>
      </c>
    </row>
    <row r="711" spans="1:33" x14ac:dyDescent="0.3">
      <c r="A711" t="s">
        <v>2871</v>
      </c>
      <c r="B711" t="s">
        <v>55</v>
      </c>
      <c r="C711" t="s">
        <v>2872</v>
      </c>
      <c r="D711">
        <v>2604732.67</v>
      </c>
      <c r="E711" t="s">
        <v>2873</v>
      </c>
      <c r="F711">
        <v>0</v>
      </c>
      <c r="G711">
        <v>3.380000114440918</v>
      </c>
      <c r="H711">
        <v>0</v>
      </c>
      <c r="I711">
        <v>0.46000000834465032</v>
      </c>
      <c r="J711" t="s">
        <v>2874</v>
      </c>
      <c r="K711">
        <v>7010</v>
      </c>
      <c r="L711">
        <v>9800</v>
      </c>
      <c r="M711">
        <v>39.799999999999997</v>
      </c>
      <c r="N711">
        <v>26.78</v>
      </c>
      <c r="O711">
        <v>0.83</v>
      </c>
      <c r="P711">
        <v>14.29</v>
      </c>
      <c r="Q711">
        <v>-10.19</v>
      </c>
      <c r="R711">
        <v>38.29</v>
      </c>
      <c r="S711">
        <v>-8.7200000000000006</v>
      </c>
      <c r="T711">
        <v>10.88</v>
      </c>
      <c r="U711">
        <v>3.64</v>
      </c>
      <c r="V711">
        <v>7.57</v>
      </c>
      <c r="W711">
        <v>5.69</v>
      </c>
      <c r="X711">
        <v>8</v>
      </c>
      <c r="Y711">
        <v>2.86</v>
      </c>
      <c r="Z711">
        <v>2.46</v>
      </c>
      <c r="AA711">
        <v>0.23</v>
      </c>
      <c r="AB711">
        <v>1.89</v>
      </c>
      <c r="AC711">
        <v>1.79</v>
      </c>
      <c r="AD711">
        <v>4.79</v>
      </c>
      <c r="AE711">
        <v>3.05</v>
      </c>
      <c r="AF711">
        <v>2.3683333333333341</v>
      </c>
      <c r="AG711" t="str">
        <f>HYPERLINK("https://finance.naver.com/item/fchart.naver?code=094480", "갤럭시아머니트리 차트보기")</f>
        <v>갤럭시아머니트리 차트보기</v>
      </c>
    </row>
    <row r="712" spans="1:33" x14ac:dyDescent="0.3">
      <c r="A712" t="s">
        <v>2875</v>
      </c>
      <c r="B712" t="s">
        <v>34</v>
      </c>
      <c r="C712" t="s">
        <v>2876</v>
      </c>
      <c r="D712">
        <v>150438.24</v>
      </c>
      <c r="E712" t="s">
        <v>2877</v>
      </c>
      <c r="F712">
        <v>7.09</v>
      </c>
      <c r="G712">
        <v>0.74000000953674316</v>
      </c>
      <c r="H712">
        <v>8149</v>
      </c>
      <c r="I712">
        <v>2.940000057220459</v>
      </c>
      <c r="J712" t="s">
        <v>2878</v>
      </c>
      <c r="K712">
        <v>69500</v>
      </c>
      <c r="L712">
        <v>57800</v>
      </c>
      <c r="M712">
        <v>-16.829999999999998</v>
      </c>
      <c r="N712">
        <v>-0.52</v>
      </c>
      <c r="O712">
        <v>-4.9800000000000004</v>
      </c>
      <c r="P712">
        <v>-1.61</v>
      </c>
      <c r="Q712">
        <v>-8.24</v>
      </c>
      <c r="R712">
        <v>-0.44</v>
      </c>
      <c r="S712">
        <v>-5</v>
      </c>
      <c r="T712">
        <v>1.55</v>
      </c>
      <c r="U712">
        <v>1.37</v>
      </c>
      <c r="V712">
        <v>1.53</v>
      </c>
      <c r="W712">
        <v>1.6</v>
      </c>
      <c r="X712">
        <v>1.42</v>
      </c>
      <c r="Y712">
        <v>1.34</v>
      </c>
      <c r="Z712">
        <v>0.34</v>
      </c>
      <c r="AA712">
        <v>3.64</v>
      </c>
      <c r="AB712">
        <v>1.05</v>
      </c>
      <c r="AC712">
        <v>5.15</v>
      </c>
      <c r="AD712">
        <v>0.31</v>
      </c>
      <c r="AE712">
        <v>3.73</v>
      </c>
      <c r="AF712">
        <v>2.37</v>
      </c>
      <c r="AG712" t="str">
        <f>HYPERLINK("https://finance.naver.com/item/fchart.naver?code=010950", "S-Oil 차트보기")</f>
        <v>S-Oil 차트보기</v>
      </c>
    </row>
    <row r="713" spans="1:33" x14ac:dyDescent="0.3">
      <c r="A713" t="s">
        <v>2879</v>
      </c>
      <c r="B713" t="s">
        <v>55</v>
      </c>
      <c r="C713" t="s">
        <v>2880</v>
      </c>
      <c r="D713">
        <v>122647.14</v>
      </c>
      <c r="E713" t="s">
        <v>2881</v>
      </c>
      <c r="F713">
        <v>37.5</v>
      </c>
      <c r="G713">
        <v>1.169999957084656</v>
      </c>
      <c r="H713">
        <v>18</v>
      </c>
      <c r="I713">
        <v>0</v>
      </c>
      <c r="J713" t="s">
        <v>2882</v>
      </c>
      <c r="K713">
        <v>934</v>
      </c>
      <c r="L713">
        <v>675</v>
      </c>
      <c r="M713">
        <v>-27.73</v>
      </c>
      <c r="N713">
        <v>-1.03</v>
      </c>
      <c r="O713">
        <v>-6.3</v>
      </c>
      <c r="P713">
        <v>-3.27</v>
      </c>
      <c r="Q713">
        <v>-5.61</v>
      </c>
      <c r="R713">
        <v>-4.63</v>
      </c>
      <c r="S713">
        <v>-8.8800000000000008</v>
      </c>
      <c r="T713">
        <v>1.71</v>
      </c>
      <c r="U713">
        <v>1.43</v>
      </c>
      <c r="V713">
        <v>2.4900000000000002</v>
      </c>
      <c r="W713">
        <v>3.09</v>
      </c>
      <c r="X713">
        <v>1.81</v>
      </c>
      <c r="Y713">
        <v>2.52</v>
      </c>
      <c r="Z713">
        <v>0.6</v>
      </c>
      <c r="AA713">
        <v>4.41</v>
      </c>
      <c r="AB713">
        <v>1.31</v>
      </c>
      <c r="AC713">
        <v>1.82</v>
      </c>
      <c r="AD713">
        <v>2.56</v>
      </c>
      <c r="AE713">
        <v>3.52</v>
      </c>
      <c r="AF713">
        <v>2.37</v>
      </c>
      <c r="AG713" t="str">
        <f>HYPERLINK("https://finance.naver.com/item/fchart.naver?code=331520", "밸로프 차트보기")</f>
        <v>밸로프 차트보기</v>
      </c>
    </row>
    <row r="714" spans="1:33" x14ac:dyDescent="0.3">
      <c r="A714" t="s">
        <v>2883</v>
      </c>
      <c r="B714" t="s">
        <v>34</v>
      </c>
      <c r="C714" t="s">
        <v>2884</v>
      </c>
      <c r="D714">
        <v>86989.33</v>
      </c>
      <c r="E714" t="s">
        <v>2885</v>
      </c>
      <c r="F714">
        <v>11.38</v>
      </c>
      <c r="G714">
        <v>1.720000028610229</v>
      </c>
      <c r="H714">
        <v>946</v>
      </c>
      <c r="I714">
        <v>3.809999942779541</v>
      </c>
      <c r="J714" t="s">
        <v>2886</v>
      </c>
      <c r="K714">
        <v>11530</v>
      </c>
      <c r="L714">
        <v>10770</v>
      </c>
      <c r="M714">
        <v>-6.59</v>
      </c>
      <c r="N714">
        <v>-5.86</v>
      </c>
      <c r="O714">
        <v>6.51</v>
      </c>
      <c r="P714">
        <v>3.51</v>
      </c>
      <c r="Q714">
        <v>-4.21</v>
      </c>
      <c r="R714">
        <v>-3.99</v>
      </c>
      <c r="S714">
        <v>3.09</v>
      </c>
      <c r="T714">
        <v>3.04</v>
      </c>
      <c r="U714">
        <v>1.75</v>
      </c>
      <c r="V714">
        <v>1.64</v>
      </c>
      <c r="W714">
        <v>2.68</v>
      </c>
      <c r="X714">
        <v>1.57</v>
      </c>
      <c r="Y714">
        <v>1.33</v>
      </c>
      <c r="Z714">
        <v>1.93</v>
      </c>
      <c r="AA714">
        <v>3.72</v>
      </c>
      <c r="AB714">
        <v>2.14</v>
      </c>
      <c r="AC714">
        <v>1.57</v>
      </c>
      <c r="AD714">
        <v>2.54</v>
      </c>
      <c r="AE714">
        <v>2.3199999999999998</v>
      </c>
      <c r="AF714">
        <v>2.370000000000001</v>
      </c>
      <c r="AG714" t="str">
        <f>HYPERLINK("https://finance.naver.com/item/fchart.naver?code=030190", "NICE평가정보 차트보기")</f>
        <v>NICE평가정보 차트보기</v>
      </c>
    </row>
    <row r="715" spans="1:33" x14ac:dyDescent="0.3">
      <c r="A715" t="s">
        <v>2887</v>
      </c>
      <c r="B715" t="s">
        <v>55</v>
      </c>
      <c r="C715" t="s">
        <v>2888</v>
      </c>
      <c r="D715">
        <v>37406.29</v>
      </c>
      <c r="E715" t="s">
        <v>2889</v>
      </c>
      <c r="F715">
        <v>0</v>
      </c>
      <c r="G715">
        <v>2.3599998950958252</v>
      </c>
      <c r="H715">
        <v>0</v>
      </c>
      <c r="I715">
        <v>0</v>
      </c>
      <c r="J715" t="s">
        <v>2890</v>
      </c>
      <c r="K715">
        <v>23700</v>
      </c>
      <c r="L715">
        <v>17640</v>
      </c>
      <c r="M715">
        <v>-25.57</v>
      </c>
      <c r="N715">
        <v>1.0900000000000001</v>
      </c>
      <c r="O715">
        <v>-5.58</v>
      </c>
      <c r="P715">
        <v>-1.1200000000000001</v>
      </c>
      <c r="Q715">
        <v>-4.38</v>
      </c>
      <c r="R715">
        <v>-13.7</v>
      </c>
      <c r="S715">
        <v>3.28</v>
      </c>
      <c r="T715">
        <v>2.2200000000000002</v>
      </c>
      <c r="U715">
        <v>2.2200000000000002</v>
      </c>
      <c r="V715">
        <v>2.2999999999999998</v>
      </c>
      <c r="W715">
        <v>4.57</v>
      </c>
      <c r="X715">
        <v>1.78</v>
      </c>
      <c r="Y715">
        <v>1.58</v>
      </c>
      <c r="Z715">
        <v>0.49</v>
      </c>
      <c r="AA715">
        <v>2.5099999999999998</v>
      </c>
      <c r="AB715">
        <v>0.49</v>
      </c>
      <c r="AC715">
        <v>0.96</v>
      </c>
      <c r="AD715">
        <v>7.7</v>
      </c>
      <c r="AE715">
        <v>2.08</v>
      </c>
      <c r="AF715">
        <v>2.371666666666667</v>
      </c>
      <c r="AG715" t="str">
        <f>HYPERLINK("https://finance.naver.com/item/fchart.naver?code=108490", "로보티즈 차트보기")</f>
        <v>로보티즈 차트보기</v>
      </c>
    </row>
    <row r="716" spans="1:33" x14ac:dyDescent="0.3">
      <c r="A716" t="s">
        <v>2891</v>
      </c>
      <c r="B716" t="s">
        <v>34</v>
      </c>
      <c r="C716" t="s">
        <v>2892</v>
      </c>
      <c r="D716">
        <v>53691.95</v>
      </c>
      <c r="E716" t="s">
        <v>2893</v>
      </c>
      <c r="F716">
        <v>4.4000000000000004</v>
      </c>
      <c r="G716">
        <v>0.2099999934434891</v>
      </c>
      <c r="H716">
        <v>813</v>
      </c>
      <c r="I716">
        <v>3.3599998950958252</v>
      </c>
      <c r="J716" t="s">
        <v>2894</v>
      </c>
      <c r="K716">
        <v>3750</v>
      </c>
      <c r="L716">
        <v>3575</v>
      </c>
      <c r="M716">
        <v>-4.67</v>
      </c>
      <c r="N716">
        <v>0.14000000000000001</v>
      </c>
      <c r="O716">
        <v>1.84</v>
      </c>
      <c r="P716">
        <v>1.57</v>
      </c>
      <c r="Q716">
        <v>-4.76</v>
      </c>
      <c r="R716">
        <v>3.27</v>
      </c>
      <c r="S716">
        <v>-4.4800000000000004</v>
      </c>
      <c r="T716">
        <v>0.79</v>
      </c>
      <c r="U716">
        <v>0.73</v>
      </c>
      <c r="V716">
        <v>0.67</v>
      </c>
      <c r="W716">
        <v>2.14</v>
      </c>
      <c r="X716">
        <v>0.9</v>
      </c>
      <c r="Y716">
        <v>1.34</v>
      </c>
      <c r="Z716">
        <v>0.18</v>
      </c>
      <c r="AA716">
        <v>2.52</v>
      </c>
      <c r="AB716">
        <v>2.34</v>
      </c>
      <c r="AC716">
        <v>2.2200000000000002</v>
      </c>
      <c r="AD716">
        <v>3.63</v>
      </c>
      <c r="AE716">
        <v>3.34</v>
      </c>
      <c r="AF716">
        <v>2.371666666666667</v>
      </c>
      <c r="AG716" t="str">
        <f>HYPERLINK("https://finance.naver.com/item/fchart.naver?code=027410", "BGF 차트보기")</f>
        <v>BGF 차트보기</v>
      </c>
    </row>
    <row r="717" spans="1:33" x14ac:dyDescent="0.3">
      <c r="A717" t="s">
        <v>2895</v>
      </c>
      <c r="B717" t="s">
        <v>34</v>
      </c>
      <c r="C717" t="s">
        <v>2896</v>
      </c>
      <c r="D717">
        <v>256531.1</v>
      </c>
      <c r="E717" t="s">
        <v>2897</v>
      </c>
      <c r="F717">
        <v>39.159999999999997</v>
      </c>
      <c r="G717">
        <v>1.279999971389771</v>
      </c>
      <c r="H717">
        <v>512</v>
      </c>
      <c r="I717">
        <v>4.7399997711181641</v>
      </c>
      <c r="J717" t="s">
        <v>2898</v>
      </c>
      <c r="K717">
        <v>20200</v>
      </c>
      <c r="L717">
        <v>20050</v>
      </c>
      <c r="M717">
        <v>-0.74</v>
      </c>
      <c r="N717">
        <v>-3.84</v>
      </c>
      <c r="O717">
        <v>6</v>
      </c>
      <c r="P717">
        <v>-1.45</v>
      </c>
      <c r="Q717">
        <v>-0.96</v>
      </c>
      <c r="R717">
        <v>-0.24</v>
      </c>
      <c r="S717">
        <v>5.72</v>
      </c>
      <c r="T717">
        <v>0.8</v>
      </c>
      <c r="U717">
        <v>1.6</v>
      </c>
      <c r="V717">
        <v>0.83</v>
      </c>
      <c r="W717">
        <v>2.3199999999999998</v>
      </c>
      <c r="X717">
        <v>1.27</v>
      </c>
      <c r="Y717">
        <v>1.72</v>
      </c>
      <c r="Z717">
        <v>4.8</v>
      </c>
      <c r="AA717">
        <v>3.75</v>
      </c>
      <c r="AB717">
        <v>1.75</v>
      </c>
      <c r="AC717">
        <v>0.41</v>
      </c>
      <c r="AD717">
        <v>0.19</v>
      </c>
      <c r="AE717">
        <v>3.33</v>
      </c>
      <c r="AF717">
        <v>2.371666666666667</v>
      </c>
      <c r="AG717" t="str">
        <f>HYPERLINK("https://finance.naver.com/item/fchart.naver?code=000080", "하이트진로 차트보기")</f>
        <v>하이트진로 차트보기</v>
      </c>
    </row>
    <row r="718" spans="1:33" x14ac:dyDescent="0.3">
      <c r="A718" t="s">
        <v>2899</v>
      </c>
      <c r="B718" t="s">
        <v>34</v>
      </c>
      <c r="C718" t="s">
        <v>2900</v>
      </c>
      <c r="D718">
        <v>4054.14</v>
      </c>
      <c r="E718" t="s">
        <v>2901</v>
      </c>
      <c r="F718">
        <v>0</v>
      </c>
      <c r="G718">
        <v>0</v>
      </c>
      <c r="H718">
        <v>0</v>
      </c>
      <c r="I718">
        <v>3.7100000381469731</v>
      </c>
      <c r="J718" t="s">
        <v>2902</v>
      </c>
      <c r="K718">
        <v>9650</v>
      </c>
      <c r="L718">
        <v>8210</v>
      </c>
      <c r="M718">
        <v>-14.92</v>
      </c>
      <c r="N718">
        <v>2.37</v>
      </c>
      <c r="O718">
        <v>-2.78</v>
      </c>
      <c r="P718">
        <v>-6.21</v>
      </c>
      <c r="Q718">
        <v>-1.33</v>
      </c>
      <c r="R718">
        <v>-2.4</v>
      </c>
      <c r="S718">
        <v>1.34</v>
      </c>
      <c r="T718">
        <v>1.36</v>
      </c>
      <c r="U718">
        <v>0.76</v>
      </c>
      <c r="V718">
        <v>1.44</v>
      </c>
      <c r="W718">
        <v>2.11</v>
      </c>
      <c r="X718">
        <v>0.93</v>
      </c>
      <c r="Y718">
        <v>1.02</v>
      </c>
      <c r="Z718">
        <v>1.74</v>
      </c>
      <c r="AA718">
        <v>3.66</v>
      </c>
      <c r="AB718">
        <v>4.3099999999999996</v>
      </c>
      <c r="AC718">
        <v>0.63</v>
      </c>
      <c r="AD718">
        <v>2.58</v>
      </c>
      <c r="AE718">
        <v>1.31</v>
      </c>
      <c r="AF718">
        <v>2.371666666666667</v>
      </c>
      <c r="AG718" t="str">
        <f>HYPERLINK("https://finance.naver.com/item/fchart.naver?code=35320K", "대덕전자1우 차트보기")</f>
        <v>대덕전자1우 차트보기</v>
      </c>
    </row>
    <row r="719" spans="1:33" x14ac:dyDescent="0.3">
      <c r="A719" t="s">
        <v>2903</v>
      </c>
      <c r="B719" t="s">
        <v>34</v>
      </c>
      <c r="C719" t="s">
        <v>2904</v>
      </c>
      <c r="D719">
        <v>50744.1</v>
      </c>
      <c r="E719" t="s">
        <v>2905</v>
      </c>
      <c r="F719">
        <v>6.56</v>
      </c>
      <c r="G719">
        <v>1.120000004768372</v>
      </c>
      <c r="H719">
        <v>7635</v>
      </c>
      <c r="I719">
        <v>2</v>
      </c>
      <c r="J719" t="s">
        <v>2906</v>
      </c>
      <c r="K719">
        <v>46400</v>
      </c>
      <c r="L719">
        <v>50100</v>
      </c>
      <c r="M719">
        <v>7.97</v>
      </c>
      <c r="N719">
        <v>-5.83</v>
      </c>
      <c r="O719">
        <v>7.8</v>
      </c>
      <c r="P719">
        <v>0.6</v>
      </c>
      <c r="Q719">
        <v>5.13</v>
      </c>
      <c r="R719">
        <v>1.53</v>
      </c>
      <c r="S719">
        <v>2.2200000000000002</v>
      </c>
      <c r="T719">
        <v>1.66</v>
      </c>
      <c r="U719">
        <v>1.38</v>
      </c>
      <c r="V719">
        <v>1.51</v>
      </c>
      <c r="W719">
        <v>2.63</v>
      </c>
      <c r="X719">
        <v>1.1299999999999999</v>
      </c>
      <c r="Y719">
        <v>1.59</v>
      </c>
      <c r="Z719">
        <v>3.51</v>
      </c>
      <c r="AA719">
        <v>5.65</v>
      </c>
      <c r="AB719">
        <v>0.4</v>
      </c>
      <c r="AC719">
        <v>1.95</v>
      </c>
      <c r="AD719">
        <v>1.35</v>
      </c>
      <c r="AE719">
        <v>1.4</v>
      </c>
      <c r="AF719">
        <v>2.376666666666666</v>
      </c>
      <c r="AG719" t="str">
        <f>HYPERLINK("https://finance.naver.com/item/fchart.naver?code=192080", "더블유게임즈 차트보기")</f>
        <v>더블유게임즈 차트보기</v>
      </c>
    </row>
    <row r="720" spans="1:33" x14ac:dyDescent="0.3">
      <c r="A720" t="s">
        <v>2907</v>
      </c>
      <c r="B720" t="s">
        <v>55</v>
      </c>
      <c r="C720" t="s">
        <v>2908</v>
      </c>
      <c r="D720">
        <v>679372.33</v>
      </c>
      <c r="E720" t="s">
        <v>2909</v>
      </c>
      <c r="F720">
        <v>0</v>
      </c>
      <c r="G720">
        <v>1.5399999618530269</v>
      </c>
      <c r="H720">
        <v>0</v>
      </c>
      <c r="I720">
        <v>0</v>
      </c>
      <c r="J720" t="s">
        <v>2910</v>
      </c>
      <c r="K720">
        <v>5580</v>
      </c>
      <c r="L720">
        <v>4825</v>
      </c>
      <c r="M720">
        <v>-13.53</v>
      </c>
      <c r="N720">
        <v>1.37</v>
      </c>
      <c r="O720">
        <v>14.59</v>
      </c>
      <c r="P720">
        <v>-8.6</v>
      </c>
      <c r="Q720">
        <v>-18.04</v>
      </c>
      <c r="R720">
        <v>2.56</v>
      </c>
      <c r="S720">
        <v>-14.65</v>
      </c>
      <c r="T720">
        <v>2.25</v>
      </c>
      <c r="U720">
        <v>5.4</v>
      </c>
      <c r="V720">
        <v>3.3</v>
      </c>
      <c r="W720">
        <v>4.3499999999999996</v>
      </c>
      <c r="X720">
        <v>7.84</v>
      </c>
      <c r="Y720">
        <v>3.79</v>
      </c>
      <c r="Z720">
        <v>0.61</v>
      </c>
      <c r="AA720">
        <v>2.7</v>
      </c>
      <c r="AB720">
        <v>2.61</v>
      </c>
      <c r="AC720">
        <v>4.1500000000000004</v>
      </c>
      <c r="AD720">
        <v>0.33</v>
      </c>
      <c r="AE720">
        <v>3.87</v>
      </c>
      <c r="AF720">
        <v>2.378333333333333</v>
      </c>
      <c r="AG720" t="str">
        <f>HYPERLINK("https://finance.naver.com/item/fchart.naver?code=189860", "서전기전 차트보기")</f>
        <v>서전기전 차트보기</v>
      </c>
    </row>
    <row r="721" spans="1:33" x14ac:dyDescent="0.3">
      <c r="A721" t="s">
        <v>2911</v>
      </c>
      <c r="B721" t="s">
        <v>55</v>
      </c>
      <c r="C721" t="s">
        <v>2912</v>
      </c>
      <c r="D721">
        <v>148740.51999999999</v>
      </c>
      <c r="E721" t="s">
        <v>2913</v>
      </c>
      <c r="F721">
        <v>5.16</v>
      </c>
      <c r="G721">
        <v>1.360000014305115</v>
      </c>
      <c r="H721">
        <v>269</v>
      </c>
      <c r="I721">
        <v>0</v>
      </c>
      <c r="J721" t="s">
        <v>2914</v>
      </c>
      <c r="K721">
        <v>2435</v>
      </c>
      <c r="L721">
        <v>1389</v>
      </c>
      <c r="M721">
        <v>-42.96</v>
      </c>
      <c r="N721">
        <v>-1.91</v>
      </c>
      <c r="O721">
        <v>-10.44</v>
      </c>
      <c r="P721">
        <v>-4.87</v>
      </c>
      <c r="Q721">
        <v>-7.72</v>
      </c>
      <c r="R721">
        <v>-5.19</v>
      </c>
      <c r="S721">
        <v>-12.38</v>
      </c>
      <c r="T721">
        <v>4.93</v>
      </c>
      <c r="U721">
        <v>2.98</v>
      </c>
      <c r="V721">
        <v>1.51</v>
      </c>
      <c r="W721">
        <v>3.37</v>
      </c>
      <c r="X721">
        <v>3.44</v>
      </c>
      <c r="Y721">
        <v>3.68</v>
      </c>
      <c r="Z721">
        <v>0.39</v>
      </c>
      <c r="AA721">
        <v>3.5</v>
      </c>
      <c r="AB721">
        <v>3.23</v>
      </c>
      <c r="AC721">
        <v>2.29</v>
      </c>
      <c r="AD721">
        <v>1.51</v>
      </c>
      <c r="AE721">
        <v>3.36</v>
      </c>
      <c r="AF721">
        <v>2.38</v>
      </c>
      <c r="AG721" t="str">
        <f>HYPERLINK("https://finance.naver.com/item/fchart.naver?code=142760", "모아라이프플러스 차트보기")</f>
        <v>모아라이프플러스 차트보기</v>
      </c>
    </row>
    <row r="722" spans="1:33" x14ac:dyDescent="0.3">
      <c r="A722" t="s">
        <v>2915</v>
      </c>
      <c r="B722" t="s">
        <v>34</v>
      </c>
      <c r="C722" t="s">
        <v>2916</v>
      </c>
      <c r="D722">
        <v>171720.24</v>
      </c>
      <c r="E722" t="s">
        <v>2917</v>
      </c>
      <c r="F722">
        <v>0</v>
      </c>
      <c r="G722">
        <v>0.63999998569488525</v>
      </c>
      <c r="H722">
        <v>0</v>
      </c>
      <c r="I722">
        <v>0</v>
      </c>
      <c r="J722" t="s">
        <v>2918</v>
      </c>
      <c r="K722">
        <v>2575</v>
      </c>
      <c r="L722">
        <v>2400</v>
      </c>
      <c r="M722">
        <v>-6.8</v>
      </c>
      <c r="N722">
        <v>7.14</v>
      </c>
      <c r="O722">
        <v>3.42</v>
      </c>
      <c r="P722">
        <v>-1.81</v>
      </c>
      <c r="Q722">
        <v>-2.42</v>
      </c>
      <c r="R722">
        <v>-6.76</v>
      </c>
      <c r="S722">
        <v>-1.01</v>
      </c>
      <c r="T722">
        <v>3.39</v>
      </c>
      <c r="U722">
        <v>1.41</v>
      </c>
      <c r="V722">
        <v>1.51</v>
      </c>
      <c r="W722">
        <v>3.37</v>
      </c>
      <c r="X722">
        <v>1.04</v>
      </c>
      <c r="Y722">
        <v>0.76</v>
      </c>
      <c r="Z722">
        <v>2.11</v>
      </c>
      <c r="AA722">
        <v>2.4300000000000002</v>
      </c>
      <c r="AB722">
        <v>1.2</v>
      </c>
      <c r="AC722">
        <v>0.72</v>
      </c>
      <c r="AD722">
        <v>6.5</v>
      </c>
      <c r="AE722">
        <v>1.33</v>
      </c>
      <c r="AF722">
        <v>2.3816666666666668</v>
      </c>
      <c r="AG722" t="str">
        <f>HYPERLINK("https://finance.naver.com/item/fchart.naver?code=019680", "대교 차트보기")</f>
        <v>대교 차트보기</v>
      </c>
    </row>
    <row r="723" spans="1:33" x14ac:dyDescent="0.3">
      <c r="A723" t="s">
        <v>2919</v>
      </c>
      <c r="B723" t="s">
        <v>55</v>
      </c>
      <c r="C723" t="s">
        <v>2920</v>
      </c>
      <c r="D723">
        <v>108164.9</v>
      </c>
      <c r="E723" t="s">
        <v>2921</v>
      </c>
      <c r="F723">
        <v>7.05</v>
      </c>
      <c r="G723">
        <v>0.41999998688697809</v>
      </c>
      <c r="H723">
        <v>410</v>
      </c>
      <c r="I723">
        <v>1.7300000190734861</v>
      </c>
      <c r="J723" t="s">
        <v>2922</v>
      </c>
      <c r="K723">
        <v>3730</v>
      </c>
      <c r="L723">
        <v>2890</v>
      </c>
      <c r="M723">
        <v>-22.52</v>
      </c>
      <c r="N723">
        <v>-1.7</v>
      </c>
      <c r="O723">
        <v>-4.07</v>
      </c>
      <c r="P723">
        <v>-1.92</v>
      </c>
      <c r="Q723">
        <v>-10.06</v>
      </c>
      <c r="R723">
        <v>-7.03</v>
      </c>
      <c r="S723">
        <v>0.83</v>
      </c>
      <c r="T723">
        <v>1.25</v>
      </c>
      <c r="U723">
        <v>1.03</v>
      </c>
      <c r="V723">
        <v>1.77</v>
      </c>
      <c r="W723">
        <v>3.56</v>
      </c>
      <c r="X723">
        <v>1.54</v>
      </c>
      <c r="Y723">
        <v>1.64</v>
      </c>
      <c r="Z723">
        <v>1.36</v>
      </c>
      <c r="AA723">
        <v>3.95</v>
      </c>
      <c r="AB723">
        <v>1.08</v>
      </c>
      <c r="AC723">
        <v>2.83</v>
      </c>
      <c r="AD723">
        <v>4.5599999999999996</v>
      </c>
      <c r="AE723">
        <v>0.51</v>
      </c>
      <c r="AF723">
        <v>2.3816666666666668</v>
      </c>
      <c r="AG723" t="str">
        <f>HYPERLINK("https://finance.naver.com/item/fchart.naver?code=072470", "우리산업홀딩스 차트보기")</f>
        <v>우리산업홀딩스 차트보기</v>
      </c>
    </row>
    <row r="724" spans="1:33" x14ac:dyDescent="0.3">
      <c r="A724" t="s">
        <v>2923</v>
      </c>
      <c r="B724" t="s">
        <v>55</v>
      </c>
      <c r="C724" t="s">
        <v>2924</v>
      </c>
      <c r="D724">
        <v>1071756.3799999999</v>
      </c>
      <c r="E724" t="s">
        <v>2925</v>
      </c>
      <c r="F724">
        <v>0</v>
      </c>
      <c r="G724">
        <v>0.40999999642372131</v>
      </c>
      <c r="H724">
        <v>0</v>
      </c>
      <c r="I724">
        <v>0</v>
      </c>
      <c r="J724" t="s">
        <v>2926</v>
      </c>
      <c r="K724">
        <v>934</v>
      </c>
      <c r="L724">
        <v>684</v>
      </c>
      <c r="M724">
        <v>-26.77</v>
      </c>
      <c r="N724">
        <v>-1.3</v>
      </c>
      <c r="O724">
        <v>-3.43</v>
      </c>
      <c r="P724">
        <v>-2.68</v>
      </c>
      <c r="Q724">
        <v>-4.9400000000000004</v>
      </c>
      <c r="R724">
        <v>-10.08</v>
      </c>
      <c r="S724">
        <v>-2.5499999999999998</v>
      </c>
      <c r="T724">
        <v>0.77</v>
      </c>
      <c r="U724">
        <v>8.31</v>
      </c>
      <c r="V724">
        <v>1.96</v>
      </c>
      <c r="W724">
        <v>1.64</v>
      </c>
      <c r="X724">
        <v>2.02</v>
      </c>
      <c r="Y724">
        <v>0.9</v>
      </c>
      <c r="Z724">
        <v>1.69</v>
      </c>
      <c r="AA724">
        <v>0.41</v>
      </c>
      <c r="AB724">
        <v>1.37</v>
      </c>
      <c r="AC724">
        <v>3.01</v>
      </c>
      <c r="AD724">
        <v>4.99</v>
      </c>
      <c r="AE724">
        <v>2.83</v>
      </c>
      <c r="AF724">
        <v>2.3833333333333329</v>
      </c>
      <c r="AG724" t="str">
        <f>HYPERLINK("https://finance.naver.com/item/fchart.naver?code=002680", "한탑 차트보기")</f>
        <v>한탑 차트보기</v>
      </c>
    </row>
    <row r="725" spans="1:33" x14ac:dyDescent="0.3">
      <c r="A725" t="s">
        <v>2927</v>
      </c>
      <c r="B725" t="s">
        <v>55</v>
      </c>
      <c r="C725" t="s">
        <v>2928</v>
      </c>
      <c r="D725">
        <v>24983.33</v>
      </c>
      <c r="E725" t="s">
        <v>2929</v>
      </c>
      <c r="F725">
        <v>0</v>
      </c>
      <c r="G725">
        <v>0</v>
      </c>
      <c r="H725">
        <v>0</v>
      </c>
      <c r="I725">
        <v>0</v>
      </c>
      <c r="J725" t="s">
        <v>2930</v>
      </c>
      <c r="K725">
        <v>2375</v>
      </c>
      <c r="L725">
        <v>2140</v>
      </c>
      <c r="M725">
        <v>-9.89</v>
      </c>
      <c r="N725">
        <v>0</v>
      </c>
      <c r="O725">
        <v>-2.48</v>
      </c>
      <c r="P725">
        <v>-1.58</v>
      </c>
      <c r="Q725">
        <v>-4.0599999999999996</v>
      </c>
      <c r="R725">
        <v>-1.26</v>
      </c>
      <c r="S725">
        <v>2.39</v>
      </c>
      <c r="T725">
        <v>0.56999999999999995</v>
      </c>
      <c r="U725">
        <v>0.77</v>
      </c>
      <c r="V725">
        <v>0.7</v>
      </c>
      <c r="W725">
        <v>1.1200000000000001</v>
      </c>
      <c r="X725">
        <v>0.65</v>
      </c>
      <c r="Y725">
        <v>0.73</v>
      </c>
      <c r="Z725">
        <v>0</v>
      </c>
      <c r="AA725">
        <v>3.22</v>
      </c>
      <c r="AB725">
        <v>2.2599999999999998</v>
      </c>
      <c r="AC725">
        <v>3.62</v>
      </c>
      <c r="AD725">
        <v>1.94</v>
      </c>
      <c r="AE725">
        <v>3.27</v>
      </c>
      <c r="AF725">
        <v>2.3849999999999998</v>
      </c>
      <c r="AG725" t="str">
        <f>HYPERLINK("https://finance.naver.com/item/fchart.naver?code=430220", "신영스팩8호 차트보기")</f>
        <v>신영스팩8호 차트보기</v>
      </c>
    </row>
    <row r="726" spans="1:33" x14ac:dyDescent="0.3">
      <c r="A726" t="s">
        <v>2931</v>
      </c>
      <c r="B726" t="s">
        <v>34</v>
      </c>
      <c r="C726" t="s">
        <v>2932</v>
      </c>
      <c r="D726">
        <v>8451</v>
      </c>
      <c r="E726" t="s">
        <v>2933</v>
      </c>
      <c r="F726">
        <v>11.02</v>
      </c>
      <c r="G726">
        <v>0.49000000953674322</v>
      </c>
      <c r="H726">
        <v>2836</v>
      </c>
      <c r="I726">
        <v>0.95999997854232788</v>
      </c>
      <c r="J726" t="s">
        <v>2934</v>
      </c>
      <c r="K726">
        <v>39150</v>
      </c>
      <c r="L726">
        <v>31250</v>
      </c>
      <c r="M726">
        <v>-20.18</v>
      </c>
      <c r="N726">
        <v>-3.55</v>
      </c>
      <c r="O726">
        <v>-1.52</v>
      </c>
      <c r="P726">
        <v>-5.36</v>
      </c>
      <c r="Q726">
        <v>3.31</v>
      </c>
      <c r="R726">
        <v>-5.49</v>
      </c>
      <c r="S726">
        <v>0.42</v>
      </c>
      <c r="T726">
        <v>1.1299999999999999</v>
      </c>
      <c r="U726">
        <v>0.95</v>
      </c>
      <c r="V726">
        <v>1.5</v>
      </c>
      <c r="W726">
        <v>2.36</v>
      </c>
      <c r="X726">
        <v>1.28</v>
      </c>
      <c r="Y726">
        <v>1.31</v>
      </c>
      <c r="Z726">
        <v>3.14</v>
      </c>
      <c r="AA726">
        <v>1.6</v>
      </c>
      <c r="AB726">
        <v>3.57</v>
      </c>
      <c r="AC726">
        <v>1.4</v>
      </c>
      <c r="AD726">
        <v>4.29</v>
      </c>
      <c r="AE726">
        <v>0.32</v>
      </c>
      <c r="AF726">
        <v>2.3866666666666672</v>
      </c>
      <c r="AG726" t="str">
        <f>HYPERLINK("https://finance.naver.com/item/fchart.naver?code=001460", "BYC 차트보기")</f>
        <v>BYC 차트보기</v>
      </c>
    </row>
    <row r="727" spans="1:33" x14ac:dyDescent="0.3">
      <c r="A727" t="s">
        <v>2935</v>
      </c>
      <c r="B727" t="s">
        <v>55</v>
      </c>
      <c r="C727" t="s">
        <v>2936</v>
      </c>
      <c r="D727">
        <v>8073.48</v>
      </c>
      <c r="E727" t="s">
        <v>2937</v>
      </c>
      <c r="F727">
        <v>4.63</v>
      </c>
      <c r="G727">
        <v>0.31999999284744263</v>
      </c>
      <c r="H727">
        <v>793</v>
      </c>
      <c r="I727">
        <v>4.7699999809265137</v>
      </c>
      <c r="J727" t="s">
        <v>2938</v>
      </c>
      <c r="K727">
        <v>4140</v>
      </c>
      <c r="L727">
        <v>3670</v>
      </c>
      <c r="M727">
        <v>-11.35</v>
      </c>
      <c r="N727">
        <v>-0.27</v>
      </c>
      <c r="O727">
        <v>-0.94</v>
      </c>
      <c r="P727">
        <v>0.41</v>
      </c>
      <c r="Q727">
        <v>-4.88</v>
      </c>
      <c r="R727">
        <v>-4.07</v>
      </c>
      <c r="S727">
        <v>0.12</v>
      </c>
      <c r="T727">
        <v>0.23</v>
      </c>
      <c r="U727">
        <v>0.47</v>
      </c>
      <c r="V727">
        <v>0.67</v>
      </c>
      <c r="W727">
        <v>1.89</v>
      </c>
      <c r="X727">
        <v>0.52</v>
      </c>
      <c r="Y727">
        <v>0.9</v>
      </c>
      <c r="Z727">
        <v>1.17</v>
      </c>
      <c r="AA727">
        <v>2</v>
      </c>
      <c r="AB727">
        <v>0.61</v>
      </c>
      <c r="AC727">
        <v>2.58</v>
      </c>
      <c r="AD727">
        <v>7.83</v>
      </c>
      <c r="AE727">
        <v>0.13</v>
      </c>
      <c r="AF727">
        <v>2.3866666666666672</v>
      </c>
      <c r="AG727" t="str">
        <f>HYPERLINK("https://finance.naver.com/item/fchart.naver?code=004590", "한국가구 차트보기")</f>
        <v>한국가구 차트보기</v>
      </c>
    </row>
    <row r="728" spans="1:33" x14ac:dyDescent="0.3">
      <c r="A728" t="s">
        <v>2939</v>
      </c>
      <c r="B728" t="s">
        <v>55</v>
      </c>
      <c r="C728" t="s">
        <v>2940</v>
      </c>
      <c r="D728">
        <v>42313.24</v>
      </c>
      <c r="E728" t="s">
        <v>2941</v>
      </c>
      <c r="F728">
        <v>0</v>
      </c>
      <c r="G728">
        <v>0.68000000715255737</v>
      </c>
      <c r="H728">
        <v>0</v>
      </c>
      <c r="I728">
        <v>0</v>
      </c>
      <c r="J728" t="s">
        <v>2942</v>
      </c>
      <c r="K728">
        <v>1920</v>
      </c>
      <c r="L728">
        <v>1507</v>
      </c>
      <c r="M728">
        <v>-21.51</v>
      </c>
      <c r="N728">
        <v>-3.4</v>
      </c>
      <c r="O728">
        <v>-0.06</v>
      </c>
      <c r="P728">
        <v>-0.56000000000000005</v>
      </c>
      <c r="Q728">
        <v>2.2799999999999998</v>
      </c>
      <c r="R728">
        <v>1.1200000000000001</v>
      </c>
      <c r="S728">
        <v>-18.579999999999998</v>
      </c>
      <c r="T728">
        <v>0.79</v>
      </c>
      <c r="U728">
        <v>1.63</v>
      </c>
      <c r="V728">
        <v>1.48</v>
      </c>
      <c r="W728">
        <v>2.81</v>
      </c>
      <c r="X728">
        <v>2.9</v>
      </c>
      <c r="Y728">
        <v>2.21</v>
      </c>
      <c r="Z728">
        <v>4.3</v>
      </c>
      <c r="AA728">
        <v>0.04</v>
      </c>
      <c r="AB728">
        <v>0.38</v>
      </c>
      <c r="AC728">
        <v>0.81</v>
      </c>
      <c r="AD728">
        <v>0.39</v>
      </c>
      <c r="AE728">
        <v>8.41</v>
      </c>
      <c r="AF728">
        <v>2.3883333333333332</v>
      </c>
      <c r="AG728" t="str">
        <f>HYPERLINK("https://finance.naver.com/item/fchart.naver?code=131100", "티엔엔터테인먼트 차트보기")</f>
        <v>티엔엔터테인먼트 차트보기</v>
      </c>
    </row>
    <row r="729" spans="1:33" x14ac:dyDescent="0.3">
      <c r="A729" t="s">
        <v>2943</v>
      </c>
      <c r="B729" t="s">
        <v>34</v>
      </c>
      <c r="C729" t="s">
        <v>2944</v>
      </c>
      <c r="D729">
        <v>58802.67</v>
      </c>
      <c r="E729" t="s">
        <v>2945</v>
      </c>
      <c r="F729">
        <v>2.93</v>
      </c>
      <c r="G729">
        <v>0.41999998688697809</v>
      </c>
      <c r="H729">
        <v>6968</v>
      </c>
      <c r="I729">
        <v>2.940000057220459</v>
      </c>
      <c r="J729" t="s">
        <v>2946</v>
      </c>
      <c r="K729">
        <v>22050</v>
      </c>
      <c r="L729">
        <v>20400</v>
      </c>
      <c r="M729">
        <v>-7.48</v>
      </c>
      <c r="N729">
        <v>1.49</v>
      </c>
      <c r="O729">
        <v>5.23</v>
      </c>
      <c r="P729">
        <v>-3.1</v>
      </c>
      <c r="Q729">
        <v>-9.93</v>
      </c>
      <c r="R729">
        <v>-5.95</v>
      </c>
      <c r="S729">
        <v>6.1</v>
      </c>
      <c r="T729">
        <v>2.54</v>
      </c>
      <c r="U729">
        <v>1.46</v>
      </c>
      <c r="V729">
        <v>1.76</v>
      </c>
      <c r="W729">
        <v>2.5499999999999998</v>
      </c>
      <c r="X729">
        <v>2.65</v>
      </c>
      <c r="Y729">
        <v>2.7</v>
      </c>
      <c r="Z729">
        <v>0.59</v>
      </c>
      <c r="AA729">
        <v>3.58</v>
      </c>
      <c r="AB729">
        <v>1.76</v>
      </c>
      <c r="AC729">
        <v>3.89</v>
      </c>
      <c r="AD729">
        <v>2.25</v>
      </c>
      <c r="AE729">
        <v>2.2599999999999998</v>
      </c>
      <c r="AF729">
        <v>2.3883333333333332</v>
      </c>
      <c r="AG729" t="str">
        <f>HYPERLINK("https://finance.naver.com/item/fchart.naver?code=011760", "현대코퍼레이션 차트보기")</f>
        <v>현대코퍼레이션 차트보기</v>
      </c>
    </row>
    <row r="730" spans="1:33" x14ac:dyDescent="0.3">
      <c r="A730" t="s">
        <v>2947</v>
      </c>
      <c r="B730" t="s">
        <v>55</v>
      </c>
      <c r="C730" t="s">
        <v>2948</v>
      </c>
      <c r="D730">
        <v>624424.29</v>
      </c>
      <c r="E730" t="s">
        <v>2949</v>
      </c>
      <c r="F730">
        <v>0</v>
      </c>
      <c r="G730">
        <v>0.44999998807907099</v>
      </c>
      <c r="H730">
        <v>0</v>
      </c>
      <c r="I730">
        <v>0</v>
      </c>
      <c r="J730" t="s">
        <v>2950</v>
      </c>
      <c r="K730">
        <v>273</v>
      </c>
      <c r="L730">
        <v>247</v>
      </c>
      <c r="M730">
        <v>-9.52</v>
      </c>
      <c r="N730">
        <v>-5.73</v>
      </c>
      <c r="O730">
        <v>-6.07</v>
      </c>
      <c r="P730">
        <v>3.6</v>
      </c>
      <c r="Q730">
        <v>-2.08</v>
      </c>
      <c r="R730">
        <v>16.27</v>
      </c>
      <c r="S730">
        <v>-6.92</v>
      </c>
      <c r="T730">
        <v>1.68</v>
      </c>
      <c r="U730">
        <v>2.29</v>
      </c>
      <c r="V730">
        <v>4.74</v>
      </c>
      <c r="W730">
        <v>8.65</v>
      </c>
      <c r="X730">
        <v>4.5599999999999996</v>
      </c>
      <c r="Y730">
        <v>1.87</v>
      </c>
      <c r="Z730">
        <v>3.41</v>
      </c>
      <c r="AA730">
        <v>2.65</v>
      </c>
      <c r="AB730">
        <v>0.76</v>
      </c>
      <c r="AC730">
        <v>0.24</v>
      </c>
      <c r="AD730">
        <v>3.57</v>
      </c>
      <c r="AE730">
        <v>3.7</v>
      </c>
      <c r="AF730">
        <v>2.3883333333333341</v>
      </c>
      <c r="AG730" t="str">
        <f>HYPERLINK("https://finance.naver.com/item/fchart.naver?code=038530", "케이바이오 차트보기")</f>
        <v>케이바이오 차트보기</v>
      </c>
    </row>
    <row r="731" spans="1:33" x14ac:dyDescent="0.3">
      <c r="A731" t="s">
        <v>2951</v>
      </c>
      <c r="B731" t="s">
        <v>34</v>
      </c>
      <c r="C731" t="s">
        <v>2952</v>
      </c>
      <c r="D731">
        <v>1107649.19</v>
      </c>
      <c r="E731" t="s">
        <v>2953</v>
      </c>
      <c r="F731">
        <v>0</v>
      </c>
      <c r="G731">
        <v>1.5099999904632571</v>
      </c>
      <c r="H731">
        <v>0</v>
      </c>
      <c r="I731">
        <v>0.1800000071525574</v>
      </c>
      <c r="J731" t="s">
        <v>2954</v>
      </c>
      <c r="K731">
        <v>46800</v>
      </c>
      <c r="L731">
        <v>33700</v>
      </c>
      <c r="M731">
        <v>-27.99</v>
      </c>
      <c r="N731">
        <v>-6.78</v>
      </c>
      <c r="O731">
        <v>2.64</v>
      </c>
      <c r="P731">
        <v>-2.0299999999999998</v>
      </c>
      <c r="Q731">
        <v>-6.53</v>
      </c>
      <c r="R731">
        <v>-4.3899999999999997</v>
      </c>
      <c r="S731">
        <v>-8.24</v>
      </c>
      <c r="T731">
        <v>2.81</v>
      </c>
      <c r="U731">
        <v>2.04</v>
      </c>
      <c r="V731">
        <v>1.94</v>
      </c>
      <c r="W731">
        <v>2.63</v>
      </c>
      <c r="X731">
        <v>1.86</v>
      </c>
      <c r="Y731">
        <v>1.73</v>
      </c>
      <c r="Z731">
        <v>2.41</v>
      </c>
      <c r="AA731">
        <v>1.29</v>
      </c>
      <c r="AB731">
        <v>1.05</v>
      </c>
      <c r="AC731">
        <v>2.48</v>
      </c>
      <c r="AD731">
        <v>2.36</v>
      </c>
      <c r="AE731">
        <v>4.76</v>
      </c>
      <c r="AF731">
        <v>2.3916666666666671</v>
      </c>
      <c r="AG731" t="str">
        <f>HYPERLINK("https://finance.naver.com/item/fchart.naver?code=035720", "카카오 차트보기")</f>
        <v>카카오 차트보기</v>
      </c>
    </row>
    <row r="732" spans="1:33" x14ac:dyDescent="0.3">
      <c r="A732" t="s">
        <v>2955</v>
      </c>
      <c r="B732" t="s">
        <v>55</v>
      </c>
      <c r="C732" t="s">
        <v>2956</v>
      </c>
      <c r="D732">
        <v>26781.1</v>
      </c>
      <c r="E732" t="s">
        <v>2957</v>
      </c>
      <c r="F732">
        <v>11.29</v>
      </c>
      <c r="G732">
        <v>0.68999999761581421</v>
      </c>
      <c r="H732">
        <v>504</v>
      </c>
      <c r="I732">
        <v>2.809999942779541</v>
      </c>
      <c r="J732" t="s">
        <v>2958</v>
      </c>
      <c r="K732">
        <v>6060</v>
      </c>
      <c r="L732">
        <v>5690</v>
      </c>
      <c r="M732">
        <v>-6.11</v>
      </c>
      <c r="N732">
        <v>5.76</v>
      </c>
      <c r="O732">
        <v>-3.43</v>
      </c>
      <c r="P732">
        <v>-0.36</v>
      </c>
      <c r="Q732">
        <v>1.28</v>
      </c>
      <c r="R732">
        <v>-5.03</v>
      </c>
      <c r="S732">
        <v>-2.54</v>
      </c>
      <c r="T732">
        <v>1.47</v>
      </c>
      <c r="U732">
        <v>1.3</v>
      </c>
      <c r="V732">
        <v>1.1299999999999999</v>
      </c>
      <c r="W732">
        <v>1.53</v>
      </c>
      <c r="X732">
        <v>1.57</v>
      </c>
      <c r="Y732">
        <v>0.74</v>
      </c>
      <c r="Z732">
        <v>3.92</v>
      </c>
      <c r="AA732">
        <v>2.64</v>
      </c>
      <c r="AB732">
        <v>0.32</v>
      </c>
      <c r="AC732">
        <v>0.84</v>
      </c>
      <c r="AD732">
        <v>3.2</v>
      </c>
      <c r="AE732">
        <v>3.43</v>
      </c>
      <c r="AF732">
        <v>2.3916666666666671</v>
      </c>
      <c r="AG732" t="str">
        <f>HYPERLINK("https://finance.naver.com/item/fchart.naver?code=039340", "한국경제TV 차트보기")</f>
        <v>한국경제TV 차트보기</v>
      </c>
    </row>
    <row r="733" spans="1:33" x14ac:dyDescent="0.3">
      <c r="A733" t="s">
        <v>2959</v>
      </c>
      <c r="B733" t="s">
        <v>55</v>
      </c>
      <c r="C733" t="s">
        <v>2960</v>
      </c>
      <c r="D733">
        <v>398413.81</v>
      </c>
      <c r="E733" t="s">
        <v>2961</v>
      </c>
      <c r="F733">
        <v>9.5500000000000007</v>
      </c>
      <c r="G733">
        <v>1.179999947547913</v>
      </c>
      <c r="H733">
        <v>437</v>
      </c>
      <c r="I733">
        <v>0.72000002861022949</v>
      </c>
      <c r="J733" t="s">
        <v>2962</v>
      </c>
      <c r="K733">
        <v>4550</v>
      </c>
      <c r="L733">
        <v>4175</v>
      </c>
      <c r="M733">
        <v>-8.24</v>
      </c>
      <c r="N733">
        <v>3.09</v>
      </c>
      <c r="O733">
        <v>4.37</v>
      </c>
      <c r="P733">
        <v>4.45</v>
      </c>
      <c r="Q733">
        <v>1.74</v>
      </c>
      <c r="R733">
        <v>-7.06</v>
      </c>
      <c r="S733">
        <v>-4.32</v>
      </c>
      <c r="T733">
        <v>3.29</v>
      </c>
      <c r="U733">
        <v>2.12</v>
      </c>
      <c r="V733">
        <v>3.37</v>
      </c>
      <c r="W733">
        <v>3.81</v>
      </c>
      <c r="X733">
        <v>1.59</v>
      </c>
      <c r="Y733">
        <v>0.84</v>
      </c>
      <c r="Z733">
        <v>0.94</v>
      </c>
      <c r="AA733">
        <v>2.06</v>
      </c>
      <c r="AB733">
        <v>1.32</v>
      </c>
      <c r="AC733">
        <v>0.46</v>
      </c>
      <c r="AD733">
        <v>4.4400000000000004</v>
      </c>
      <c r="AE733">
        <v>5.14</v>
      </c>
      <c r="AF733">
        <v>2.3933333333333331</v>
      </c>
      <c r="AG733" t="str">
        <f>HYPERLINK("https://finance.naver.com/item/fchart.naver?code=158430", "아톤 차트보기")</f>
        <v>아톤 차트보기</v>
      </c>
    </row>
    <row r="734" spans="1:33" x14ac:dyDescent="0.3">
      <c r="A734" t="s">
        <v>2963</v>
      </c>
      <c r="B734" t="s">
        <v>34</v>
      </c>
      <c r="C734" t="s">
        <v>2964</v>
      </c>
      <c r="D734">
        <v>1025.95</v>
      </c>
      <c r="E734" t="s">
        <v>2965</v>
      </c>
      <c r="F734">
        <v>0</v>
      </c>
      <c r="G734">
        <v>0</v>
      </c>
      <c r="H734">
        <v>0</v>
      </c>
      <c r="I734">
        <v>1.3500000238418579</v>
      </c>
      <c r="J734" t="s">
        <v>2966</v>
      </c>
      <c r="K734">
        <v>25400</v>
      </c>
      <c r="L734">
        <v>24000</v>
      </c>
      <c r="M734">
        <v>-5.51</v>
      </c>
      <c r="N734">
        <v>-3.61</v>
      </c>
      <c r="O734">
        <v>2.89</v>
      </c>
      <c r="P734">
        <v>4.6500000000000004</v>
      </c>
      <c r="Q734">
        <v>1.06</v>
      </c>
      <c r="R734">
        <v>-2.4700000000000002</v>
      </c>
      <c r="S734">
        <v>-3.57</v>
      </c>
      <c r="T734">
        <v>0.75</v>
      </c>
      <c r="U734">
        <v>1.34</v>
      </c>
      <c r="V734">
        <v>2.36</v>
      </c>
      <c r="W734">
        <v>2.1800000000000002</v>
      </c>
      <c r="X734">
        <v>1.1200000000000001</v>
      </c>
      <c r="Y734">
        <v>1.31</v>
      </c>
      <c r="Z734">
        <v>4.8099999999999996</v>
      </c>
      <c r="AA734">
        <v>2.16</v>
      </c>
      <c r="AB734">
        <v>1.97</v>
      </c>
      <c r="AC734">
        <v>0.49</v>
      </c>
      <c r="AD734">
        <v>2.21</v>
      </c>
      <c r="AE734">
        <v>2.73</v>
      </c>
      <c r="AF734">
        <v>2.395</v>
      </c>
      <c r="AG734" t="str">
        <f>HYPERLINK("https://finance.naver.com/item/fchart.naver?code=18064K", "한진칼우 차트보기")</f>
        <v>한진칼우 차트보기</v>
      </c>
    </row>
    <row r="735" spans="1:33" x14ac:dyDescent="0.3">
      <c r="A735" t="s">
        <v>2967</v>
      </c>
      <c r="B735" t="s">
        <v>34</v>
      </c>
      <c r="C735" t="s">
        <v>2968</v>
      </c>
      <c r="D735">
        <v>137224.43</v>
      </c>
      <c r="E735" t="s">
        <v>2969</v>
      </c>
      <c r="F735">
        <v>3.35</v>
      </c>
      <c r="G735">
        <v>0.40999999642372131</v>
      </c>
      <c r="H735">
        <v>591</v>
      </c>
      <c r="I735">
        <v>3.029999971389771</v>
      </c>
      <c r="J735" t="s">
        <v>2970</v>
      </c>
      <c r="K735">
        <v>2290</v>
      </c>
      <c r="L735">
        <v>1979</v>
      </c>
      <c r="M735">
        <v>-13.58</v>
      </c>
      <c r="N735">
        <v>-0.25</v>
      </c>
      <c r="O735">
        <v>-4.09</v>
      </c>
      <c r="P735">
        <v>-3.65</v>
      </c>
      <c r="Q735">
        <v>-3.12</v>
      </c>
      <c r="R735">
        <v>7.94</v>
      </c>
      <c r="S735">
        <v>-2.17</v>
      </c>
      <c r="T735">
        <v>1.45</v>
      </c>
      <c r="U735">
        <v>0.97</v>
      </c>
      <c r="V735">
        <v>1.5</v>
      </c>
      <c r="W735">
        <v>3.39</v>
      </c>
      <c r="X735">
        <v>1.39</v>
      </c>
      <c r="Y735">
        <v>2.33</v>
      </c>
      <c r="Z735">
        <v>0.17</v>
      </c>
      <c r="AA735">
        <v>4.22</v>
      </c>
      <c r="AB735">
        <v>2.4300000000000002</v>
      </c>
      <c r="AC735">
        <v>0.92</v>
      </c>
      <c r="AD735">
        <v>5.71</v>
      </c>
      <c r="AE735">
        <v>0.93</v>
      </c>
      <c r="AF735">
        <v>2.3966666666666669</v>
      </c>
      <c r="AG735" t="str">
        <f>HYPERLINK("https://finance.naver.com/item/fchart.naver?code=007210", "벽산 차트보기")</f>
        <v>벽산 차트보기</v>
      </c>
    </row>
    <row r="736" spans="1:33" x14ac:dyDescent="0.3">
      <c r="A736" t="s">
        <v>2971</v>
      </c>
      <c r="B736" t="s">
        <v>55</v>
      </c>
      <c r="C736" t="s">
        <v>2972</v>
      </c>
      <c r="D736">
        <v>7711.24</v>
      </c>
      <c r="E736" t="s">
        <v>2973</v>
      </c>
      <c r="F736">
        <v>0</v>
      </c>
      <c r="G736">
        <v>0.30000001192092901</v>
      </c>
      <c r="H736">
        <v>0</v>
      </c>
      <c r="I736">
        <v>1.2599999904632571</v>
      </c>
      <c r="J736" t="s">
        <v>2974</v>
      </c>
      <c r="K736">
        <v>4740</v>
      </c>
      <c r="L736">
        <v>3965</v>
      </c>
      <c r="M736">
        <v>-16.350000000000001</v>
      </c>
      <c r="N736">
        <v>0.13</v>
      </c>
      <c r="O736">
        <v>-4.67</v>
      </c>
      <c r="P736">
        <v>1.33</v>
      </c>
      <c r="Q736">
        <v>-4.8600000000000003</v>
      </c>
      <c r="R736">
        <v>-0.81</v>
      </c>
      <c r="S736">
        <v>-3.34</v>
      </c>
      <c r="T736">
        <v>0.59</v>
      </c>
      <c r="U736">
        <v>0.67</v>
      </c>
      <c r="V736">
        <v>1</v>
      </c>
      <c r="W736">
        <v>2.23</v>
      </c>
      <c r="X736">
        <v>1.02</v>
      </c>
      <c r="Y736">
        <v>1.1499999999999999</v>
      </c>
      <c r="Z736">
        <v>0.22</v>
      </c>
      <c r="AA736">
        <v>6.97</v>
      </c>
      <c r="AB736">
        <v>1.33</v>
      </c>
      <c r="AC736">
        <v>2.1800000000000002</v>
      </c>
      <c r="AD736">
        <v>0.79</v>
      </c>
      <c r="AE736">
        <v>2.9</v>
      </c>
      <c r="AF736">
        <v>2.398333333333333</v>
      </c>
      <c r="AG736" t="str">
        <f>HYPERLINK("https://finance.naver.com/item/fchart.naver?code=091590", "남화토건 차트보기")</f>
        <v>남화토건 차트보기</v>
      </c>
    </row>
    <row r="737" spans="1:33" x14ac:dyDescent="0.3">
      <c r="A737" t="s">
        <v>2975</v>
      </c>
      <c r="B737" t="s">
        <v>34</v>
      </c>
      <c r="C737" t="s">
        <v>2976</v>
      </c>
      <c r="D737">
        <v>4686</v>
      </c>
      <c r="E737" t="s">
        <v>2977</v>
      </c>
      <c r="F737">
        <v>3.59</v>
      </c>
      <c r="G737">
        <v>0.25999999046325678</v>
      </c>
      <c r="H737">
        <v>5196</v>
      </c>
      <c r="I737">
        <v>4.690000057220459</v>
      </c>
      <c r="J737" t="s">
        <v>2978</v>
      </c>
      <c r="K737">
        <v>19420</v>
      </c>
      <c r="L737">
        <v>18650</v>
      </c>
      <c r="M737">
        <v>-3.96</v>
      </c>
      <c r="N737">
        <v>-0.75</v>
      </c>
      <c r="O737">
        <v>-0.63</v>
      </c>
      <c r="P737">
        <v>0.32</v>
      </c>
      <c r="Q737">
        <v>-2.68</v>
      </c>
      <c r="R737">
        <v>-2.21</v>
      </c>
      <c r="S737">
        <v>-11.63</v>
      </c>
      <c r="T737">
        <v>0.27</v>
      </c>
      <c r="U737">
        <v>0.25</v>
      </c>
      <c r="V737">
        <v>0.39</v>
      </c>
      <c r="W737">
        <v>1.48</v>
      </c>
      <c r="X737">
        <v>0.63</v>
      </c>
      <c r="Y737">
        <v>3.94</v>
      </c>
      <c r="Z737">
        <v>2.78</v>
      </c>
      <c r="AA737">
        <v>2.52</v>
      </c>
      <c r="AB737">
        <v>0.82</v>
      </c>
      <c r="AC737">
        <v>1.81</v>
      </c>
      <c r="AD737">
        <v>3.51</v>
      </c>
      <c r="AE737">
        <v>2.95</v>
      </c>
      <c r="AF737">
        <v>2.398333333333333</v>
      </c>
      <c r="AG737" t="str">
        <f>HYPERLINK("https://finance.naver.com/item/fchart.naver?code=267290", "경동도시가스 차트보기")</f>
        <v>경동도시가스 차트보기</v>
      </c>
    </row>
    <row r="738" spans="1:33" x14ac:dyDescent="0.3">
      <c r="A738" t="s">
        <v>2979</v>
      </c>
      <c r="B738" t="s">
        <v>34</v>
      </c>
      <c r="C738" t="s">
        <v>2980</v>
      </c>
      <c r="D738">
        <v>85444.1</v>
      </c>
      <c r="E738" t="s">
        <v>2981</v>
      </c>
      <c r="J738" t="s">
        <v>2982</v>
      </c>
      <c r="K738">
        <v>1029</v>
      </c>
      <c r="L738">
        <v>1000</v>
      </c>
      <c r="M738">
        <v>-2.82</v>
      </c>
      <c r="N738">
        <v>-0.2</v>
      </c>
      <c r="O738">
        <v>-2.63</v>
      </c>
      <c r="P738">
        <v>-2</v>
      </c>
      <c r="Q738">
        <v>1.1499999999999999</v>
      </c>
      <c r="R738">
        <v>1.55</v>
      </c>
      <c r="S738">
        <v>0.1</v>
      </c>
      <c r="T738">
        <v>0.26</v>
      </c>
      <c r="U738">
        <v>0.48</v>
      </c>
      <c r="V738">
        <v>0.6</v>
      </c>
      <c r="W738">
        <v>1.01</v>
      </c>
      <c r="X738">
        <v>0.48</v>
      </c>
      <c r="Y738">
        <v>0.22</v>
      </c>
      <c r="Z738">
        <v>0.77</v>
      </c>
      <c r="AA738">
        <v>5.48</v>
      </c>
      <c r="AB738">
        <v>3.33</v>
      </c>
      <c r="AC738">
        <v>1.1399999999999999</v>
      </c>
      <c r="AD738">
        <v>3.23</v>
      </c>
      <c r="AE738">
        <v>0.45</v>
      </c>
      <c r="AF738">
        <v>2.4</v>
      </c>
      <c r="AG738" t="str">
        <f>HYPERLINK("https://finance.naver.com/item/fchart.naver?code=145270", "케이탑리츠 차트보기")</f>
        <v>케이탑리츠 차트보기</v>
      </c>
    </row>
    <row r="739" spans="1:33" x14ac:dyDescent="0.3">
      <c r="A739" t="s">
        <v>2983</v>
      </c>
      <c r="B739" t="s">
        <v>34</v>
      </c>
      <c r="C739" t="s">
        <v>2984</v>
      </c>
      <c r="D739">
        <v>4775.8100000000004</v>
      </c>
      <c r="E739" t="s">
        <v>2985</v>
      </c>
      <c r="F739">
        <v>4.54</v>
      </c>
      <c r="G739">
        <v>0.37000000476837158</v>
      </c>
      <c r="H739">
        <v>4445</v>
      </c>
      <c r="I739">
        <v>1.7300000190734861</v>
      </c>
      <c r="J739" t="s">
        <v>2986</v>
      </c>
      <c r="K739">
        <v>23200</v>
      </c>
      <c r="L739">
        <v>20200</v>
      </c>
      <c r="M739">
        <v>-12.93</v>
      </c>
      <c r="N739">
        <v>-1.7</v>
      </c>
      <c r="O739">
        <v>-2.4</v>
      </c>
      <c r="P739">
        <v>-0.94</v>
      </c>
      <c r="Q739">
        <v>-3.2</v>
      </c>
      <c r="R739">
        <v>-3.74</v>
      </c>
      <c r="S739">
        <v>-2.8</v>
      </c>
      <c r="T739">
        <v>0.78</v>
      </c>
      <c r="U739">
        <v>0.81</v>
      </c>
      <c r="V739">
        <v>0.79</v>
      </c>
      <c r="W739">
        <v>2.36</v>
      </c>
      <c r="X739">
        <v>1.1200000000000001</v>
      </c>
      <c r="Y739">
        <v>0.83</v>
      </c>
      <c r="Z739">
        <v>2.1800000000000002</v>
      </c>
      <c r="AA739">
        <v>2.96</v>
      </c>
      <c r="AB739">
        <v>1.19</v>
      </c>
      <c r="AC739">
        <v>1.36</v>
      </c>
      <c r="AD739">
        <v>3.34</v>
      </c>
      <c r="AE739">
        <v>3.37</v>
      </c>
      <c r="AF739">
        <v>2.4</v>
      </c>
      <c r="AG739" t="str">
        <f>HYPERLINK("https://finance.naver.com/item/fchart.naver?code=009140", "경인전자 차트보기")</f>
        <v>경인전자 차트보기</v>
      </c>
    </row>
    <row r="740" spans="1:33" x14ac:dyDescent="0.3">
      <c r="A740" t="s">
        <v>2987</v>
      </c>
      <c r="B740" t="s">
        <v>55</v>
      </c>
      <c r="C740" t="s">
        <v>2988</v>
      </c>
      <c r="D740">
        <v>55919.57</v>
      </c>
      <c r="E740" t="s">
        <v>2989</v>
      </c>
      <c r="F740">
        <v>19.97</v>
      </c>
      <c r="G740">
        <v>1.029999971389771</v>
      </c>
      <c r="H740">
        <v>157</v>
      </c>
      <c r="I740">
        <v>0</v>
      </c>
      <c r="J740" t="s">
        <v>2990</v>
      </c>
      <c r="K740">
        <v>4080</v>
      </c>
      <c r="L740">
        <v>3135</v>
      </c>
      <c r="M740">
        <v>-23.16</v>
      </c>
      <c r="N740">
        <v>-2.79</v>
      </c>
      <c r="O740">
        <v>-1.37</v>
      </c>
      <c r="P740">
        <v>2.64</v>
      </c>
      <c r="Q740">
        <v>-8.8699999999999992</v>
      </c>
      <c r="R740">
        <v>-6</v>
      </c>
      <c r="S740">
        <v>-3.02</v>
      </c>
      <c r="T740">
        <v>1.07</v>
      </c>
      <c r="U740">
        <v>1.6</v>
      </c>
      <c r="V740">
        <v>1.62</v>
      </c>
      <c r="W740">
        <v>3.68</v>
      </c>
      <c r="X740">
        <v>1.48</v>
      </c>
      <c r="Y740">
        <v>1.06</v>
      </c>
      <c r="Z740">
        <v>2.61</v>
      </c>
      <c r="AA740">
        <v>0.86</v>
      </c>
      <c r="AB740">
        <v>1.63</v>
      </c>
      <c r="AC740">
        <v>2.41</v>
      </c>
      <c r="AD740">
        <v>4.05</v>
      </c>
      <c r="AE740">
        <v>2.85</v>
      </c>
      <c r="AF740">
        <v>2.401666666666666</v>
      </c>
      <c r="AG740" t="str">
        <f>HYPERLINK("https://finance.naver.com/item/fchart.naver?code=263810", "상신전자 차트보기")</f>
        <v>상신전자 차트보기</v>
      </c>
    </row>
    <row r="741" spans="1:33" x14ac:dyDescent="0.3">
      <c r="A741" t="s">
        <v>2991</v>
      </c>
      <c r="B741" t="s">
        <v>34</v>
      </c>
      <c r="C741" t="s">
        <v>2992</v>
      </c>
      <c r="D741">
        <v>35762.71</v>
      </c>
      <c r="E741" t="s">
        <v>2993</v>
      </c>
      <c r="F741">
        <v>0</v>
      </c>
      <c r="G741">
        <v>0.54000002145767212</v>
      </c>
      <c r="H741">
        <v>0</v>
      </c>
      <c r="I741">
        <v>1.700000047683716</v>
      </c>
      <c r="J741" t="s">
        <v>2994</v>
      </c>
      <c r="K741">
        <v>3545</v>
      </c>
      <c r="L741">
        <v>2945</v>
      </c>
      <c r="M741">
        <v>-16.93</v>
      </c>
      <c r="N741">
        <v>-1.34</v>
      </c>
      <c r="O741">
        <v>-7.25</v>
      </c>
      <c r="P741">
        <v>-1.82</v>
      </c>
      <c r="Q741">
        <v>-2.94</v>
      </c>
      <c r="R741">
        <v>0.3</v>
      </c>
      <c r="S741">
        <v>-2.5</v>
      </c>
      <c r="T741">
        <v>1</v>
      </c>
      <c r="U741">
        <v>0.92</v>
      </c>
      <c r="V741">
        <v>1.71</v>
      </c>
      <c r="W741">
        <v>3.68</v>
      </c>
      <c r="X741">
        <v>0.92</v>
      </c>
      <c r="Y741">
        <v>0.83</v>
      </c>
      <c r="Z741">
        <v>1.34</v>
      </c>
      <c r="AA741">
        <v>7.88</v>
      </c>
      <c r="AB741">
        <v>1.06</v>
      </c>
      <c r="AC741">
        <v>0.8</v>
      </c>
      <c r="AD741">
        <v>0.33</v>
      </c>
      <c r="AE741">
        <v>3.01</v>
      </c>
      <c r="AF741">
        <v>2.4033333333333342</v>
      </c>
      <c r="AG741" t="str">
        <f>HYPERLINK("https://finance.naver.com/item/fchart.naver?code=012610", "경인양행 차트보기")</f>
        <v>경인양행 차트보기</v>
      </c>
    </row>
    <row r="742" spans="1:33" x14ac:dyDescent="0.3">
      <c r="A742" t="s">
        <v>2995</v>
      </c>
      <c r="B742" t="s">
        <v>34</v>
      </c>
      <c r="C742" t="s">
        <v>2996</v>
      </c>
      <c r="D742">
        <v>459575.71</v>
      </c>
      <c r="E742" t="s">
        <v>2997</v>
      </c>
      <c r="F742">
        <v>17.89</v>
      </c>
      <c r="G742">
        <v>1.309999942779541</v>
      </c>
      <c r="H742">
        <v>610</v>
      </c>
      <c r="I742">
        <v>0.92000001668930054</v>
      </c>
      <c r="J742" t="s">
        <v>2998</v>
      </c>
      <c r="K742">
        <v>11120</v>
      </c>
      <c r="L742">
        <v>10910</v>
      </c>
      <c r="M742">
        <v>-1.89</v>
      </c>
      <c r="N742">
        <v>2.44</v>
      </c>
      <c r="O742">
        <v>6.41</v>
      </c>
      <c r="P742">
        <v>-5</v>
      </c>
      <c r="Q742">
        <v>8.02</v>
      </c>
      <c r="R742">
        <v>7.29</v>
      </c>
      <c r="S742">
        <v>-7.16</v>
      </c>
      <c r="T742">
        <v>2.87</v>
      </c>
      <c r="U742">
        <v>2.08</v>
      </c>
      <c r="V742">
        <v>4.58</v>
      </c>
      <c r="W742">
        <v>4.4800000000000004</v>
      </c>
      <c r="X742">
        <v>1.7</v>
      </c>
      <c r="Y742">
        <v>2.15</v>
      </c>
      <c r="Z742">
        <v>0.85</v>
      </c>
      <c r="AA742">
        <v>3.08</v>
      </c>
      <c r="AB742">
        <v>1.0900000000000001</v>
      </c>
      <c r="AC742">
        <v>1.79</v>
      </c>
      <c r="AD742">
        <v>4.29</v>
      </c>
      <c r="AE742">
        <v>3.33</v>
      </c>
      <c r="AF742">
        <v>2.4049999999999998</v>
      </c>
      <c r="AG742" t="str">
        <f>HYPERLINK("https://finance.naver.com/item/fchart.naver?code=003850", "보령 차트보기")</f>
        <v>보령 차트보기</v>
      </c>
    </row>
    <row r="743" spans="1:33" x14ac:dyDescent="0.3">
      <c r="A743" t="s">
        <v>2999</v>
      </c>
      <c r="B743" t="s">
        <v>34</v>
      </c>
      <c r="C743" t="s">
        <v>3000</v>
      </c>
      <c r="D743">
        <v>3580541.86</v>
      </c>
      <c r="E743" t="s">
        <v>3001</v>
      </c>
      <c r="F743">
        <v>99.05</v>
      </c>
      <c r="G743">
        <v>0.57999998331069946</v>
      </c>
      <c r="H743">
        <v>42</v>
      </c>
      <c r="I743">
        <v>0</v>
      </c>
      <c r="J743" t="s">
        <v>3002</v>
      </c>
      <c r="K743">
        <v>3405</v>
      </c>
      <c r="L743">
        <v>4160</v>
      </c>
      <c r="M743">
        <v>22.17</v>
      </c>
      <c r="N743">
        <v>23.44</v>
      </c>
      <c r="O743">
        <v>9.34</v>
      </c>
      <c r="P743">
        <v>-1.34</v>
      </c>
      <c r="Q743">
        <v>-7.47</v>
      </c>
      <c r="R743">
        <v>15.49</v>
      </c>
      <c r="S743">
        <v>-2.56</v>
      </c>
      <c r="T743">
        <v>7.31</v>
      </c>
      <c r="U743">
        <v>2.44</v>
      </c>
      <c r="V743">
        <v>2.89</v>
      </c>
      <c r="W743">
        <v>4.3099999999999996</v>
      </c>
      <c r="X743">
        <v>3.88</v>
      </c>
      <c r="Y743">
        <v>2.1</v>
      </c>
      <c r="Z743">
        <v>3.21</v>
      </c>
      <c r="AA743">
        <v>3.83</v>
      </c>
      <c r="AB743">
        <v>0.46</v>
      </c>
      <c r="AC743">
        <v>1.73</v>
      </c>
      <c r="AD743">
        <v>3.99</v>
      </c>
      <c r="AE743">
        <v>1.22</v>
      </c>
      <c r="AF743">
        <v>2.4066666666666672</v>
      </c>
      <c r="AG743" t="str">
        <f>HYPERLINK("https://finance.naver.com/item/fchart.naver?code=003530", "한화투자증권 차트보기")</f>
        <v>한화투자증권 차트보기</v>
      </c>
    </row>
    <row r="744" spans="1:33" x14ac:dyDescent="0.3">
      <c r="A744" t="s">
        <v>3003</v>
      </c>
      <c r="B744" t="s">
        <v>34</v>
      </c>
      <c r="C744" t="s">
        <v>3004</v>
      </c>
      <c r="D744">
        <v>210657.57</v>
      </c>
      <c r="E744" t="s">
        <v>3005</v>
      </c>
      <c r="F744">
        <v>1215.79</v>
      </c>
      <c r="G744">
        <v>1.6499999761581421</v>
      </c>
      <c r="H744">
        <v>19</v>
      </c>
      <c r="I744">
        <v>0</v>
      </c>
      <c r="J744" t="s">
        <v>3006</v>
      </c>
      <c r="K744">
        <v>35000</v>
      </c>
      <c r="L744">
        <v>23100</v>
      </c>
      <c r="M744">
        <v>-34</v>
      </c>
      <c r="N744">
        <v>-2.94</v>
      </c>
      <c r="O744">
        <v>5.36</v>
      </c>
      <c r="P744">
        <v>-1.01</v>
      </c>
      <c r="Q744">
        <v>-2.33</v>
      </c>
      <c r="R744">
        <v>-7.17</v>
      </c>
      <c r="S744">
        <v>-12.94</v>
      </c>
      <c r="T744">
        <v>3.41</v>
      </c>
      <c r="U744">
        <v>2.97</v>
      </c>
      <c r="V744">
        <v>2.5499999999999998</v>
      </c>
      <c r="W744">
        <v>3.78</v>
      </c>
      <c r="X744">
        <v>3.1</v>
      </c>
      <c r="Y744">
        <v>1.53</v>
      </c>
      <c r="Z744">
        <v>0.86</v>
      </c>
      <c r="AA744">
        <v>1.8</v>
      </c>
      <c r="AB744">
        <v>0.4</v>
      </c>
      <c r="AC744">
        <v>0.62</v>
      </c>
      <c r="AD744">
        <v>2.31</v>
      </c>
      <c r="AE744">
        <v>8.4600000000000009</v>
      </c>
      <c r="AF744">
        <v>2.4083333333333341</v>
      </c>
      <c r="AG744" t="str">
        <f>HYPERLINK("https://finance.naver.com/item/fchart.naver?code=377300", "카카오페이 차트보기")</f>
        <v>카카오페이 차트보기</v>
      </c>
    </row>
    <row r="745" spans="1:33" x14ac:dyDescent="0.3">
      <c r="A745" t="s">
        <v>3007</v>
      </c>
      <c r="B745" t="s">
        <v>34</v>
      </c>
      <c r="C745" t="s">
        <v>3008</v>
      </c>
      <c r="D745">
        <v>14004.76</v>
      </c>
      <c r="E745" t="s">
        <v>3009</v>
      </c>
      <c r="F745">
        <v>0</v>
      </c>
      <c r="G745">
        <v>0.15999999642372131</v>
      </c>
      <c r="H745">
        <v>0</v>
      </c>
      <c r="I745">
        <v>0</v>
      </c>
      <c r="J745" t="s">
        <v>3010</v>
      </c>
      <c r="K745">
        <v>2685</v>
      </c>
      <c r="L745">
        <v>3040</v>
      </c>
      <c r="M745">
        <v>13.22</v>
      </c>
      <c r="N745">
        <v>-0.65</v>
      </c>
      <c r="O745">
        <v>-11.9</v>
      </c>
      <c r="P745">
        <v>-1.83</v>
      </c>
      <c r="Q745">
        <v>9.06</v>
      </c>
      <c r="R745">
        <v>5.25</v>
      </c>
      <c r="S745">
        <v>12.5</v>
      </c>
      <c r="T745">
        <v>1.41</v>
      </c>
      <c r="U745">
        <v>3.06</v>
      </c>
      <c r="V745">
        <v>2.25</v>
      </c>
      <c r="W745">
        <v>2.66</v>
      </c>
      <c r="X745">
        <v>2.2999999999999998</v>
      </c>
      <c r="Y745">
        <v>3.45</v>
      </c>
      <c r="Z745">
        <v>0.46</v>
      </c>
      <c r="AA745">
        <v>3.89</v>
      </c>
      <c r="AB745">
        <v>0.81</v>
      </c>
      <c r="AC745">
        <v>3.41</v>
      </c>
      <c r="AD745">
        <v>2.2799999999999998</v>
      </c>
      <c r="AE745">
        <v>3.62</v>
      </c>
      <c r="AF745">
        <v>2.4116666666666671</v>
      </c>
      <c r="AG745" t="str">
        <f>HYPERLINK("https://finance.naver.com/item/fchart.naver?code=002820", "SUN&amp;L 차트보기")</f>
        <v>SUN&amp;L 차트보기</v>
      </c>
    </row>
    <row r="746" spans="1:33" x14ac:dyDescent="0.3">
      <c r="A746" t="s">
        <v>3011</v>
      </c>
      <c r="B746" t="s">
        <v>55</v>
      </c>
      <c r="C746" t="s">
        <v>3012</v>
      </c>
      <c r="D746">
        <v>32156</v>
      </c>
      <c r="E746" t="s">
        <v>3013</v>
      </c>
      <c r="F746">
        <v>18.78</v>
      </c>
      <c r="G746">
        <v>2.0799999237060551</v>
      </c>
      <c r="H746">
        <v>609</v>
      </c>
      <c r="I746">
        <v>1.570000052452087</v>
      </c>
      <c r="J746" t="s">
        <v>3014</v>
      </c>
      <c r="K746">
        <v>13070</v>
      </c>
      <c r="L746">
        <v>11440</v>
      </c>
      <c r="M746">
        <v>-12.47</v>
      </c>
      <c r="N746">
        <v>-2.31</v>
      </c>
      <c r="O746">
        <v>-2.68</v>
      </c>
      <c r="P746">
        <v>-1.98</v>
      </c>
      <c r="Q746">
        <v>-11</v>
      </c>
      <c r="R746">
        <v>16.420000000000002</v>
      </c>
      <c r="S746">
        <v>-9.42</v>
      </c>
      <c r="T746">
        <v>1.83</v>
      </c>
      <c r="U746">
        <v>1.91</v>
      </c>
      <c r="V746">
        <v>2.57</v>
      </c>
      <c r="W746">
        <v>8.89</v>
      </c>
      <c r="X746">
        <v>6.44</v>
      </c>
      <c r="Y746">
        <v>1.3</v>
      </c>
      <c r="Z746">
        <v>1.26</v>
      </c>
      <c r="AA746">
        <v>1.4</v>
      </c>
      <c r="AB746">
        <v>0.77</v>
      </c>
      <c r="AC746">
        <v>1.24</v>
      </c>
      <c r="AD746">
        <v>2.5499999999999998</v>
      </c>
      <c r="AE746">
        <v>7.25</v>
      </c>
      <c r="AF746">
        <v>2.4116666666666671</v>
      </c>
      <c r="AG746" t="str">
        <f>HYPERLINK("https://finance.naver.com/item/fchart.naver?code=273640", "와이엠텍 차트보기")</f>
        <v>와이엠텍 차트보기</v>
      </c>
    </row>
    <row r="747" spans="1:33" x14ac:dyDescent="0.3">
      <c r="A747" t="s">
        <v>3015</v>
      </c>
      <c r="B747" t="s">
        <v>55</v>
      </c>
      <c r="C747" t="s">
        <v>3016</v>
      </c>
      <c r="D747">
        <v>1812.9</v>
      </c>
      <c r="E747" t="s">
        <v>3017</v>
      </c>
      <c r="F747">
        <v>6.93</v>
      </c>
      <c r="G747">
        <v>0.2800000011920929</v>
      </c>
      <c r="H747">
        <v>918</v>
      </c>
      <c r="I747">
        <v>5.9699997901916504</v>
      </c>
      <c r="J747" t="s">
        <v>3018</v>
      </c>
      <c r="K747">
        <v>7320</v>
      </c>
      <c r="L747">
        <v>6360</v>
      </c>
      <c r="M747">
        <v>-13.11</v>
      </c>
      <c r="N747">
        <v>1.44</v>
      </c>
      <c r="O747">
        <v>1.78</v>
      </c>
      <c r="P747">
        <v>-2.72</v>
      </c>
      <c r="Q747">
        <v>-9.93</v>
      </c>
      <c r="R747">
        <v>-1.84</v>
      </c>
      <c r="S747">
        <v>-1.0900000000000001</v>
      </c>
      <c r="T747">
        <v>1.89</v>
      </c>
      <c r="U747">
        <v>1.1000000000000001</v>
      </c>
      <c r="V747">
        <v>1.04</v>
      </c>
      <c r="W747">
        <v>2.12</v>
      </c>
      <c r="X747">
        <v>0.92</v>
      </c>
      <c r="Y747">
        <v>0.39</v>
      </c>
      <c r="Z747">
        <v>0.76</v>
      </c>
      <c r="AA747">
        <v>1.62</v>
      </c>
      <c r="AB747">
        <v>2.62</v>
      </c>
      <c r="AC747">
        <v>4.68</v>
      </c>
      <c r="AD747">
        <v>2</v>
      </c>
      <c r="AE747">
        <v>2.79</v>
      </c>
      <c r="AF747">
        <v>2.4116666666666671</v>
      </c>
      <c r="AG747" t="str">
        <f>HYPERLINK("https://finance.naver.com/item/fchart.naver?code=053620", "태양 차트보기")</f>
        <v>태양 차트보기</v>
      </c>
    </row>
    <row r="748" spans="1:33" x14ac:dyDescent="0.3">
      <c r="A748" t="s">
        <v>3019</v>
      </c>
      <c r="B748" t="s">
        <v>55</v>
      </c>
      <c r="C748" t="s">
        <v>3020</v>
      </c>
      <c r="D748">
        <v>3314.43</v>
      </c>
      <c r="E748" t="s">
        <v>3021</v>
      </c>
      <c r="F748">
        <v>0</v>
      </c>
      <c r="G748">
        <v>0</v>
      </c>
      <c r="H748">
        <v>0</v>
      </c>
      <c r="I748">
        <v>0</v>
      </c>
      <c r="J748" t="s">
        <v>3022</v>
      </c>
      <c r="K748">
        <v>2160</v>
      </c>
      <c r="L748">
        <v>2105</v>
      </c>
      <c r="M748">
        <v>-2.5499999999999998</v>
      </c>
      <c r="N748">
        <v>-0.24</v>
      </c>
      <c r="O748">
        <v>0.71</v>
      </c>
      <c r="P748">
        <v>-1.64</v>
      </c>
      <c r="Q748">
        <v>-3.38</v>
      </c>
      <c r="R748">
        <v>-0.45</v>
      </c>
      <c r="S748">
        <v>1.38</v>
      </c>
      <c r="T748">
        <v>0.53</v>
      </c>
      <c r="U748">
        <v>0.65</v>
      </c>
      <c r="V748">
        <v>0.55000000000000004</v>
      </c>
      <c r="W748">
        <v>0.46</v>
      </c>
      <c r="X748">
        <v>0.68</v>
      </c>
      <c r="Y748">
        <v>0.71</v>
      </c>
      <c r="Z748">
        <v>0.45</v>
      </c>
      <c r="AA748">
        <v>1.0900000000000001</v>
      </c>
      <c r="AB748">
        <v>2.98</v>
      </c>
      <c r="AC748">
        <v>7.35</v>
      </c>
      <c r="AD748">
        <v>0.66</v>
      </c>
      <c r="AE748">
        <v>1.94</v>
      </c>
      <c r="AF748">
        <v>2.4116666666666671</v>
      </c>
      <c r="AG748" t="str">
        <f>HYPERLINK("https://finance.naver.com/item/fchart.naver?code=437780", "엔에이치스팩24호 차트보기")</f>
        <v>엔에이치스팩24호 차트보기</v>
      </c>
    </row>
    <row r="749" spans="1:33" x14ac:dyDescent="0.3">
      <c r="A749" t="s">
        <v>3023</v>
      </c>
      <c r="B749" t="s">
        <v>55</v>
      </c>
      <c r="C749" t="s">
        <v>3024</v>
      </c>
      <c r="D749">
        <v>58075.9</v>
      </c>
      <c r="E749" t="s">
        <v>3025</v>
      </c>
      <c r="F749">
        <v>105.42</v>
      </c>
      <c r="G749">
        <v>2.1099998950958252</v>
      </c>
      <c r="H749">
        <v>1311</v>
      </c>
      <c r="I749">
        <v>0.80000001192092896</v>
      </c>
      <c r="J749" t="s">
        <v>3026</v>
      </c>
      <c r="K749">
        <v>132900</v>
      </c>
      <c r="L749">
        <v>138200</v>
      </c>
      <c r="M749">
        <v>3.99</v>
      </c>
      <c r="N749">
        <v>-16.14</v>
      </c>
      <c r="O749">
        <v>-7.12</v>
      </c>
      <c r="P749">
        <v>1.42</v>
      </c>
      <c r="Q749">
        <v>14.51</v>
      </c>
      <c r="R749">
        <v>15.32</v>
      </c>
      <c r="S749">
        <v>6.77</v>
      </c>
      <c r="T749">
        <v>5.86</v>
      </c>
      <c r="U749">
        <v>2.59</v>
      </c>
      <c r="V749">
        <v>3.36</v>
      </c>
      <c r="W749">
        <v>4.7300000000000004</v>
      </c>
      <c r="X749">
        <v>4.05</v>
      </c>
      <c r="Y749">
        <v>3.96</v>
      </c>
      <c r="Z749">
        <v>2.75</v>
      </c>
      <c r="AA749">
        <v>2.75</v>
      </c>
      <c r="AB749">
        <v>0.42</v>
      </c>
      <c r="AC749">
        <v>3.07</v>
      </c>
      <c r="AD749">
        <v>3.78</v>
      </c>
      <c r="AE749">
        <v>1.71</v>
      </c>
      <c r="AF749">
        <v>2.413333333333334</v>
      </c>
      <c r="AG749" t="str">
        <f>HYPERLINK("https://finance.naver.com/item/fchart.naver?code=086900", "메디톡스 차트보기")</f>
        <v>메디톡스 차트보기</v>
      </c>
    </row>
    <row r="750" spans="1:33" x14ac:dyDescent="0.3">
      <c r="A750" t="s">
        <v>3027</v>
      </c>
      <c r="B750" t="s">
        <v>55</v>
      </c>
      <c r="C750" t="s">
        <v>3028</v>
      </c>
      <c r="D750">
        <v>11996.14</v>
      </c>
      <c r="E750" t="s">
        <v>3029</v>
      </c>
      <c r="F750">
        <v>18.850000000000001</v>
      </c>
      <c r="G750">
        <v>1.1000000238418579</v>
      </c>
      <c r="H750">
        <v>321</v>
      </c>
      <c r="I750">
        <v>0</v>
      </c>
      <c r="J750" t="s">
        <v>3030</v>
      </c>
      <c r="K750">
        <v>9170</v>
      </c>
      <c r="L750">
        <v>6050</v>
      </c>
      <c r="M750">
        <v>-34.020000000000003</v>
      </c>
      <c r="N750">
        <v>-2.2599999999999998</v>
      </c>
      <c r="O750">
        <v>-4.03</v>
      </c>
      <c r="P750">
        <v>-8.7899999999999991</v>
      </c>
      <c r="Q750">
        <v>-7.32</v>
      </c>
      <c r="R750">
        <v>-4.63</v>
      </c>
      <c r="S750">
        <v>-3.75</v>
      </c>
      <c r="T750">
        <v>1.05</v>
      </c>
      <c r="U750">
        <v>1.66</v>
      </c>
      <c r="V750">
        <v>3.06</v>
      </c>
      <c r="W750">
        <v>3.52</v>
      </c>
      <c r="X750">
        <v>1.83</v>
      </c>
      <c r="Y750">
        <v>1.55</v>
      </c>
      <c r="Z750">
        <v>2.15</v>
      </c>
      <c r="AA750">
        <v>2.4300000000000002</v>
      </c>
      <c r="AB750">
        <v>2.87</v>
      </c>
      <c r="AC750">
        <v>2.08</v>
      </c>
      <c r="AD750">
        <v>2.5299999999999998</v>
      </c>
      <c r="AE750">
        <v>2.42</v>
      </c>
      <c r="AF750">
        <v>2.413333333333334</v>
      </c>
      <c r="AG750" t="str">
        <f>HYPERLINK("https://finance.naver.com/item/fchart.naver?code=104540", "코렌텍 차트보기")</f>
        <v>코렌텍 차트보기</v>
      </c>
    </row>
    <row r="751" spans="1:33" x14ac:dyDescent="0.3">
      <c r="A751" t="s">
        <v>3031</v>
      </c>
      <c r="B751" t="s">
        <v>55</v>
      </c>
      <c r="C751" t="s">
        <v>3032</v>
      </c>
      <c r="D751">
        <v>2719857.86</v>
      </c>
      <c r="E751" t="s">
        <v>3033</v>
      </c>
      <c r="F751">
        <v>0</v>
      </c>
      <c r="G751">
        <v>0.61000001430511475</v>
      </c>
      <c r="H751">
        <v>0</v>
      </c>
      <c r="I751">
        <v>3.7000000476837158</v>
      </c>
      <c r="J751" t="s">
        <v>3034</v>
      </c>
      <c r="K751">
        <v>4650</v>
      </c>
      <c r="L751">
        <v>5410</v>
      </c>
      <c r="M751">
        <v>16.34</v>
      </c>
      <c r="N751">
        <v>-4.59</v>
      </c>
      <c r="O751">
        <v>12.62</v>
      </c>
      <c r="P751">
        <v>-5.07</v>
      </c>
      <c r="Q751">
        <v>-3.58</v>
      </c>
      <c r="R751">
        <v>16.55</v>
      </c>
      <c r="S751">
        <v>-6.77</v>
      </c>
      <c r="T751">
        <v>1.1399999999999999</v>
      </c>
      <c r="U751">
        <v>10.58</v>
      </c>
      <c r="V751">
        <v>4.01</v>
      </c>
      <c r="W751">
        <v>8.58</v>
      </c>
      <c r="X751">
        <v>7.21</v>
      </c>
      <c r="Y751">
        <v>1.28</v>
      </c>
      <c r="Z751">
        <v>4.03</v>
      </c>
      <c r="AA751">
        <v>1.19</v>
      </c>
      <c r="AB751">
        <v>1.26</v>
      </c>
      <c r="AC751">
        <v>0.42</v>
      </c>
      <c r="AD751">
        <v>2.2999999999999998</v>
      </c>
      <c r="AE751">
        <v>5.29</v>
      </c>
      <c r="AF751">
        <v>2.415</v>
      </c>
      <c r="AG751" t="str">
        <f>HYPERLINK("https://finance.naver.com/item/fchart.naver?code=053280", "예스24 차트보기")</f>
        <v>예스24 차트보기</v>
      </c>
    </row>
    <row r="752" spans="1:33" x14ac:dyDescent="0.3">
      <c r="A752" t="s">
        <v>3035</v>
      </c>
      <c r="B752" t="s">
        <v>55</v>
      </c>
      <c r="C752" t="s">
        <v>3036</v>
      </c>
      <c r="D752">
        <v>244927.48</v>
      </c>
      <c r="E752" t="s">
        <v>3037</v>
      </c>
      <c r="F752">
        <v>0</v>
      </c>
      <c r="G752">
        <v>2.4500000476837158</v>
      </c>
      <c r="H752">
        <v>0</v>
      </c>
      <c r="I752">
        <v>0</v>
      </c>
      <c r="J752" t="s">
        <v>3038</v>
      </c>
      <c r="K752">
        <v>8600</v>
      </c>
      <c r="L752">
        <v>7730</v>
      </c>
      <c r="M752">
        <v>-10.119999999999999</v>
      </c>
      <c r="N752">
        <v>-2.4</v>
      </c>
      <c r="O752">
        <v>10.58</v>
      </c>
      <c r="P752">
        <v>1.58</v>
      </c>
      <c r="Q752">
        <v>-7.88</v>
      </c>
      <c r="R752">
        <v>-6.35</v>
      </c>
      <c r="S752">
        <v>-4.58</v>
      </c>
      <c r="T752">
        <v>2.06</v>
      </c>
      <c r="U752">
        <v>2.2999999999999998</v>
      </c>
      <c r="V752">
        <v>2.35</v>
      </c>
      <c r="W752">
        <v>4.3099999999999996</v>
      </c>
      <c r="X752">
        <v>2.75</v>
      </c>
      <c r="Y752">
        <v>1.17</v>
      </c>
      <c r="Z752">
        <v>1.17</v>
      </c>
      <c r="AA752">
        <v>4.5999999999999996</v>
      </c>
      <c r="AB752">
        <v>0.67</v>
      </c>
      <c r="AC752">
        <v>1.83</v>
      </c>
      <c r="AD752">
        <v>2.31</v>
      </c>
      <c r="AE752">
        <v>3.91</v>
      </c>
      <c r="AF752">
        <v>2.415</v>
      </c>
      <c r="AG752" t="str">
        <f>HYPERLINK("https://finance.naver.com/item/fchart.naver?code=060590", "씨티씨바이오 차트보기")</f>
        <v>씨티씨바이오 차트보기</v>
      </c>
    </row>
    <row r="753" spans="1:33" x14ac:dyDescent="0.3">
      <c r="A753" t="s">
        <v>3039</v>
      </c>
      <c r="B753" t="s">
        <v>34</v>
      </c>
      <c r="C753" t="s">
        <v>3040</v>
      </c>
      <c r="D753">
        <v>58199.71</v>
      </c>
      <c r="E753" t="s">
        <v>3041</v>
      </c>
      <c r="F753">
        <v>7.08</v>
      </c>
      <c r="G753">
        <v>0.52999997138977051</v>
      </c>
      <c r="H753">
        <v>5711</v>
      </c>
      <c r="I753">
        <v>6.179999828338623</v>
      </c>
      <c r="J753" t="s">
        <v>3042</v>
      </c>
      <c r="K753">
        <v>39500</v>
      </c>
      <c r="L753">
        <v>40450</v>
      </c>
      <c r="M753">
        <v>2.41</v>
      </c>
      <c r="N753">
        <v>0.62</v>
      </c>
      <c r="O753">
        <v>-0.12</v>
      </c>
      <c r="P753">
        <v>-6.69</v>
      </c>
      <c r="Q753">
        <v>6.23</v>
      </c>
      <c r="R753">
        <v>10.210000000000001</v>
      </c>
      <c r="S753">
        <v>-4.25</v>
      </c>
      <c r="T753">
        <v>0.55000000000000004</v>
      </c>
      <c r="U753">
        <v>1.38</v>
      </c>
      <c r="V753">
        <v>2.2799999999999998</v>
      </c>
      <c r="W753">
        <v>2.2200000000000002</v>
      </c>
      <c r="X753">
        <v>1.57</v>
      </c>
      <c r="Y753">
        <v>4.08</v>
      </c>
      <c r="Z753">
        <v>1.1299999999999999</v>
      </c>
      <c r="AA753">
        <v>0.09</v>
      </c>
      <c r="AB753">
        <v>2.93</v>
      </c>
      <c r="AC753">
        <v>2.81</v>
      </c>
      <c r="AD753">
        <v>6.5</v>
      </c>
      <c r="AE753">
        <v>1.04</v>
      </c>
      <c r="AF753">
        <v>2.416666666666667</v>
      </c>
      <c r="AG753" t="str">
        <f>HYPERLINK("https://finance.naver.com/item/fchart.naver?code=029780", "삼성카드 차트보기")</f>
        <v>삼성카드 차트보기</v>
      </c>
    </row>
    <row r="754" spans="1:33" x14ac:dyDescent="0.3">
      <c r="A754" t="s">
        <v>3043</v>
      </c>
      <c r="B754" t="s">
        <v>55</v>
      </c>
      <c r="C754" t="s">
        <v>3044</v>
      </c>
      <c r="D754">
        <v>299545.95</v>
      </c>
      <c r="E754" t="s">
        <v>3045</v>
      </c>
      <c r="F754">
        <v>0</v>
      </c>
      <c r="G754">
        <v>1.9099999666213989</v>
      </c>
      <c r="H754">
        <v>0</v>
      </c>
      <c r="I754">
        <v>0</v>
      </c>
      <c r="J754" t="s">
        <v>3046</v>
      </c>
      <c r="K754">
        <v>1279</v>
      </c>
      <c r="L754">
        <v>2985</v>
      </c>
      <c r="M754">
        <v>133.38999999999999</v>
      </c>
      <c r="N754">
        <v>0.51</v>
      </c>
      <c r="O754">
        <v>1.21</v>
      </c>
      <c r="P754">
        <v>-4.04</v>
      </c>
      <c r="Q754">
        <v>224.5</v>
      </c>
      <c r="R754">
        <v>-33.75</v>
      </c>
      <c r="S754">
        <v>32.049999999999997</v>
      </c>
      <c r="T754">
        <v>3.13</v>
      </c>
      <c r="U754">
        <v>5</v>
      </c>
      <c r="V754">
        <v>4.54</v>
      </c>
      <c r="W754">
        <v>65.290000000000006</v>
      </c>
      <c r="X754">
        <v>7.33</v>
      </c>
      <c r="Y754">
        <v>6.18</v>
      </c>
      <c r="Z754">
        <v>0.16</v>
      </c>
      <c r="AA754">
        <v>0.24</v>
      </c>
      <c r="AB754">
        <v>0.89</v>
      </c>
      <c r="AC754">
        <v>3.44</v>
      </c>
      <c r="AD754">
        <v>4.5999999999999996</v>
      </c>
      <c r="AE754">
        <v>5.19</v>
      </c>
      <c r="AF754">
        <v>2.42</v>
      </c>
      <c r="AG754" t="str">
        <f>HYPERLINK("https://finance.naver.com/item/fchart.naver?code=276730", "제주맥주 차트보기")</f>
        <v>제주맥주 차트보기</v>
      </c>
    </row>
    <row r="755" spans="1:33" x14ac:dyDescent="0.3">
      <c r="A755" t="s">
        <v>3047</v>
      </c>
      <c r="B755" t="s">
        <v>55</v>
      </c>
      <c r="C755" t="s">
        <v>3048</v>
      </c>
      <c r="D755">
        <v>11637.24</v>
      </c>
      <c r="E755" t="s">
        <v>3049</v>
      </c>
      <c r="F755">
        <v>8.27</v>
      </c>
      <c r="G755">
        <v>0.61000001430511475</v>
      </c>
      <c r="H755">
        <v>591</v>
      </c>
      <c r="I755">
        <v>4.5</v>
      </c>
      <c r="J755" t="s">
        <v>3050</v>
      </c>
      <c r="K755">
        <v>4400</v>
      </c>
      <c r="L755">
        <v>4885</v>
      </c>
      <c r="M755">
        <v>11.02</v>
      </c>
      <c r="N755">
        <v>-1.01</v>
      </c>
      <c r="O755">
        <v>0.71</v>
      </c>
      <c r="P755">
        <v>7.98</v>
      </c>
      <c r="Q755">
        <v>-7.4</v>
      </c>
      <c r="R755">
        <v>10.33</v>
      </c>
      <c r="S755">
        <v>-1.82</v>
      </c>
      <c r="T755">
        <v>0.78</v>
      </c>
      <c r="U755">
        <v>0.66</v>
      </c>
      <c r="V755">
        <v>2.1800000000000002</v>
      </c>
      <c r="W755">
        <v>3</v>
      </c>
      <c r="X755">
        <v>3.06</v>
      </c>
      <c r="Y755">
        <v>0.69</v>
      </c>
      <c r="Z755">
        <v>1.29</v>
      </c>
      <c r="AA755">
        <v>1.08</v>
      </c>
      <c r="AB755">
        <v>3.66</v>
      </c>
      <c r="AC755">
        <v>2.4700000000000002</v>
      </c>
      <c r="AD755">
        <v>3.38</v>
      </c>
      <c r="AE755">
        <v>2.64</v>
      </c>
      <c r="AF755">
        <v>2.42</v>
      </c>
      <c r="AG755" t="str">
        <f>HYPERLINK("https://finance.naver.com/item/fchart.naver?code=008370", "원풍 차트보기")</f>
        <v>원풍 차트보기</v>
      </c>
    </row>
    <row r="756" spans="1:33" x14ac:dyDescent="0.3">
      <c r="A756" t="s">
        <v>3051</v>
      </c>
      <c r="B756" t="s">
        <v>55</v>
      </c>
      <c r="C756" t="s">
        <v>3052</v>
      </c>
      <c r="D756">
        <v>117295.19</v>
      </c>
      <c r="E756" t="s">
        <v>3053</v>
      </c>
      <c r="F756">
        <v>77.400000000000006</v>
      </c>
      <c r="G756">
        <v>2.029999971389771</v>
      </c>
      <c r="H756">
        <v>219</v>
      </c>
      <c r="I756">
        <v>2.8299999237060551</v>
      </c>
      <c r="J756" t="s">
        <v>3054</v>
      </c>
      <c r="K756">
        <v>22600</v>
      </c>
      <c r="L756">
        <v>16950</v>
      </c>
      <c r="M756">
        <v>-25</v>
      </c>
      <c r="N756">
        <v>21.85</v>
      </c>
      <c r="O756">
        <v>0</v>
      </c>
      <c r="P756">
        <v>-2.94</v>
      </c>
      <c r="Q756">
        <v>-3.98</v>
      </c>
      <c r="R756">
        <v>-18.46</v>
      </c>
      <c r="S756">
        <v>-8.9</v>
      </c>
      <c r="T756">
        <v>5.82</v>
      </c>
      <c r="U756">
        <v>2.25</v>
      </c>
      <c r="V756">
        <v>3.02</v>
      </c>
      <c r="W756">
        <v>5.37</v>
      </c>
      <c r="X756">
        <v>3.34</v>
      </c>
      <c r="Y756">
        <v>2.52</v>
      </c>
      <c r="Z756">
        <v>3.75</v>
      </c>
      <c r="AA756">
        <v>0</v>
      </c>
      <c r="AB756">
        <v>0.97</v>
      </c>
      <c r="AC756">
        <v>0.74</v>
      </c>
      <c r="AD756">
        <v>5.53</v>
      </c>
      <c r="AE756">
        <v>3.53</v>
      </c>
      <c r="AF756">
        <v>2.42</v>
      </c>
      <c r="AG756" t="str">
        <f>HYPERLINK("https://finance.naver.com/item/fchart.naver?code=405100", "큐알티 차트보기")</f>
        <v>큐알티 차트보기</v>
      </c>
    </row>
    <row r="757" spans="1:33" x14ac:dyDescent="0.3">
      <c r="A757" t="s">
        <v>3055</v>
      </c>
      <c r="B757" t="s">
        <v>55</v>
      </c>
      <c r="C757" t="s">
        <v>3056</v>
      </c>
      <c r="D757">
        <v>8512.57</v>
      </c>
      <c r="E757" t="s">
        <v>3057</v>
      </c>
      <c r="F757">
        <v>15.59</v>
      </c>
      <c r="G757">
        <v>0.5</v>
      </c>
      <c r="H757">
        <v>312</v>
      </c>
      <c r="I757">
        <v>2.059999942779541</v>
      </c>
      <c r="J757" t="s">
        <v>3058</v>
      </c>
      <c r="K757">
        <v>6140</v>
      </c>
      <c r="L757">
        <v>4865</v>
      </c>
      <c r="M757">
        <v>-20.77</v>
      </c>
      <c r="N757">
        <v>0.72</v>
      </c>
      <c r="O757">
        <v>-1.73</v>
      </c>
      <c r="P757">
        <v>-5.52</v>
      </c>
      <c r="Q757">
        <v>-8.1</v>
      </c>
      <c r="R757">
        <v>2.65</v>
      </c>
      <c r="S757">
        <v>-2.61</v>
      </c>
      <c r="T757">
        <v>1.35</v>
      </c>
      <c r="U757">
        <v>1.06</v>
      </c>
      <c r="V757">
        <v>1.2</v>
      </c>
      <c r="W757">
        <v>3.11</v>
      </c>
      <c r="X757">
        <v>1.49</v>
      </c>
      <c r="Y757">
        <v>0.77</v>
      </c>
      <c r="Z757">
        <v>0.53</v>
      </c>
      <c r="AA757">
        <v>1.63</v>
      </c>
      <c r="AB757">
        <v>4.5999999999999996</v>
      </c>
      <c r="AC757">
        <v>2.6</v>
      </c>
      <c r="AD757">
        <v>1.78</v>
      </c>
      <c r="AE757">
        <v>3.39</v>
      </c>
      <c r="AF757">
        <v>2.421666666666666</v>
      </c>
      <c r="AG757" t="str">
        <f>HYPERLINK("https://finance.naver.com/item/fchart.naver?code=200780", "비씨월드제약 차트보기")</f>
        <v>비씨월드제약 차트보기</v>
      </c>
    </row>
    <row r="758" spans="1:33" x14ac:dyDescent="0.3">
      <c r="A758" t="s">
        <v>3059</v>
      </c>
      <c r="B758" t="s">
        <v>34</v>
      </c>
      <c r="C758" t="s">
        <v>3060</v>
      </c>
      <c r="D758">
        <v>4016577.19</v>
      </c>
      <c r="E758" t="s">
        <v>3061</v>
      </c>
      <c r="F758">
        <v>14.08</v>
      </c>
      <c r="G758">
        <v>2.2899999618530269</v>
      </c>
      <c r="H758">
        <v>1864</v>
      </c>
      <c r="I758">
        <v>1.070000052452087</v>
      </c>
      <c r="J758" t="s">
        <v>3062</v>
      </c>
      <c r="K758">
        <v>18860</v>
      </c>
      <c r="L758">
        <v>26250</v>
      </c>
      <c r="M758">
        <v>39.18</v>
      </c>
      <c r="N758">
        <v>50.26</v>
      </c>
      <c r="O758">
        <v>2.7</v>
      </c>
      <c r="P758">
        <v>-5.4</v>
      </c>
      <c r="Q758">
        <v>-2.97</v>
      </c>
      <c r="R758">
        <v>1.07</v>
      </c>
      <c r="S758">
        <v>5.6</v>
      </c>
      <c r="T758">
        <v>5.98</v>
      </c>
      <c r="U758">
        <v>2.3199999999999998</v>
      </c>
      <c r="V758">
        <v>2.95</v>
      </c>
      <c r="W758">
        <v>1.91</v>
      </c>
      <c r="X758">
        <v>4.57</v>
      </c>
      <c r="Y758">
        <v>4.1100000000000003</v>
      </c>
      <c r="Z758">
        <v>8.4</v>
      </c>
      <c r="AA758">
        <v>1.1599999999999999</v>
      </c>
      <c r="AB758">
        <v>1.83</v>
      </c>
      <c r="AC758">
        <v>1.55</v>
      </c>
      <c r="AD758">
        <v>0.23</v>
      </c>
      <c r="AE758">
        <v>1.36</v>
      </c>
      <c r="AF758">
        <v>2.4216666666666669</v>
      </c>
      <c r="AG758" t="str">
        <f>HYPERLINK("https://finance.naver.com/item/fchart.naver?code=272210", "한화시스템 차트보기")</f>
        <v>한화시스템 차트보기</v>
      </c>
    </row>
    <row r="759" spans="1:33" x14ac:dyDescent="0.3">
      <c r="A759" t="s">
        <v>3063</v>
      </c>
      <c r="B759" t="s">
        <v>34</v>
      </c>
      <c r="C759" t="s">
        <v>3064</v>
      </c>
      <c r="D759">
        <v>66816.86</v>
      </c>
      <c r="E759" t="s">
        <v>3065</v>
      </c>
      <c r="F759">
        <v>33.200000000000003</v>
      </c>
      <c r="G759">
        <v>7.4200000762939453</v>
      </c>
      <c r="H759">
        <v>16929</v>
      </c>
      <c r="I759">
        <v>0.37000000476837158</v>
      </c>
      <c r="J759" t="s">
        <v>3066</v>
      </c>
      <c r="K759">
        <v>343500</v>
      </c>
      <c r="L759">
        <v>562000</v>
      </c>
      <c r="M759">
        <v>63.61</v>
      </c>
      <c r="N759">
        <v>8.08</v>
      </c>
      <c r="O759">
        <v>3.59</v>
      </c>
      <c r="P759">
        <v>11.04</v>
      </c>
      <c r="Q759">
        <v>-19.72</v>
      </c>
      <c r="R759">
        <v>0.33</v>
      </c>
      <c r="S759">
        <v>13.97</v>
      </c>
      <c r="T759">
        <v>5.6</v>
      </c>
      <c r="U759">
        <v>3.15</v>
      </c>
      <c r="V759">
        <v>2.94</v>
      </c>
      <c r="W759">
        <v>3.67</v>
      </c>
      <c r="X759">
        <v>3.81</v>
      </c>
      <c r="Y759">
        <v>5.09</v>
      </c>
      <c r="Z759">
        <v>1.44</v>
      </c>
      <c r="AA759">
        <v>1.1399999999999999</v>
      </c>
      <c r="AB759">
        <v>3.76</v>
      </c>
      <c r="AC759">
        <v>5.37</v>
      </c>
      <c r="AD759">
        <v>0.09</v>
      </c>
      <c r="AE759">
        <v>2.74</v>
      </c>
      <c r="AF759">
        <v>2.4233333333333329</v>
      </c>
      <c r="AG759" t="str">
        <f>HYPERLINK("https://finance.naver.com/item/fchart.naver?code=003230", "삼양식품 차트보기")</f>
        <v>삼양식품 차트보기</v>
      </c>
    </row>
    <row r="760" spans="1:33" x14ac:dyDescent="0.3">
      <c r="A760" t="s">
        <v>3067</v>
      </c>
      <c r="B760" t="s">
        <v>34</v>
      </c>
      <c r="C760" t="s">
        <v>3068</v>
      </c>
      <c r="D760">
        <v>4810.4799999999996</v>
      </c>
      <c r="E760" t="s">
        <v>3069</v>
      </c>
      <c r="F760">
        <v>2.74</v>
      </c>
      <c r="G760">
        <v>0.43000000715255737</v>
      </c>
      <c r="H760">
        <v>70197</v>
      </c>
      <c r="I760">
        <v>1.0399999618530269</v>
      </c>
      <c r="J760" t="s">
        <v>3070</v>
      </c>
      <c r="K760">
        <v>233000</v>
      </c>
      <c r="L760">
        <v>192200</v>
      </c>
      <c r="M760">
        <v>-17.510000000000002</v>
      </c>
      <c r="N760">
        <v>11.29</v>
      </c>
      <c r="O760">
        <v>-0.35</v>
      </c>
      <c r="P760">
        <v>-1.1399999999999999</v>
      </c>
      <c r="Q760">
        <v>0.06</v>
      </c>
      <c r="R760">
        <v>-6.76</v>
      </c>
      <c r="S760">
        <v>-12.44</v>
      </c>
      <c r="T760">
        <v>1.85</v>
      </c>
      <c r="U760">
        <v>2.12</v>
      </c>
      <c r="V760">
        <v>3.3</v>
      </c>
      <c r="W760">
        <v>3.02</v>
      </c>
      <c r="X760">
        <v>2.7</v>
      </c>
      <c r="Y760">
        <v>2.2999999999999998</v>
      </c>
      <c r="Z760">
        <v>6.1</v>
      </c>
      <c r="AA760">
        <v>0.17</v>
      </c>
      <c r="AB760">
        <v>0.35</v>
      </c>
      <c r="AC760">
        <v>0.02</v>
      </c>
      <c r="AD760">
        <v>2.5</v>
      </c>
      <c r="AE760">
        <v>5.41</v>
      </c>
      <c r="AF760">
        <v>2.4249999999999998</v>
      </c>
      <c r="AG760" t="str">
        <f>HYPERLINK("https://finance.naver.com/item/fchart.naver?code=003030", "세아제강지주 차트보기")</f>
        <v>세아제강지주 차트보기</v>
      </c>
    </row>
    <row r="761" spans="1:33" x14ac:dyDescent="0.3">
      <c r="A761" t="s">
        <v>3071</v>
      </c>
      <c r="B761" t="s">
        <v>34</v>
      </c>
      <c r="C761" t="s">
        <v>3072</v>
      </c>
      <c r="D761">
        <v>248234.81</v>
      </c>
      <c r="E761" t="s">
        <v>3073</v>
      </c>
      <c r="F761">
        <v>0</v>
      </c>
      <c r="G761">
        <v>0.40000000596046448</v>
      </c>
      <c r="H761">
        <v>0</v>
      </c>
      <c r="I761">
        <v>2.7300000190734859</v>
      </c>
      <c r="J761" t="s">
        <v>3074</v>
      </c>
      <c r="K761">
        <v>2265</v>
      </c>
      <c r="L761">
        <v>1833</v>
      </c>
      <c r="M761">
        <v>-19.07</v>
      </c>
      <c r="N761">
        <v>0.22</v>
      </c>
      <c r="O761">
        <v>-2.91</v>
      </c>
      <c r="P761">
        <v>-5.72</v>
      </c>
      <c r="Q761">
        <v>-5.33</v>
      </c>
      <c r="R761">
        <v>-0.71</v>
      </c>
      <c r="S761">
        <v>-8.2799999999999994</v>
      </c>
      <c r="T761">
        <v>1.1200000000000001</v>
      </c>
      <c r="U761">
        <v>1.04</v>
      </c>
      <c r="V761">
        <v>1.34</v>
      </c>
      <c r="W761">
        <v>2.69</v>
      </c>
      <c r="X761">
        <v>1.0900000000000001</v>
      </c>
      <c r="Y761">
        <v>1.78</v>
      </c>
      <c r="Z761">
        <v>0.2</v>
      </c>
      <c r="AA761">
        <v>2.8</v>
      </c>
      <c r="AB761">
        <v>4.2699999999999996</v>
      </c>
      <c r="AC761">
        <v>1.98</v>
      </c>
      <c r="AD761">
        <v>0.65</v>
      </c>
      <c r="AE761">
        <v>4.6500000000000004</v>
      </c>
      <c r="AF761">
        <v>2.4249999999999998</v>
      </c>
      <c r="AG761" t="str">
        <f>HYPERLINK("https://finance.naver.com/item/fchart.naver?code=017900", "광전자 차트보기")</f>
        <v>광전자 차트보기</v>
      </c>
    </row>
    <row r="762" spans="1:33" x14ac:dyDescent="0.3">
      <c r="A762" t="s">
        <v>3075</v>
      </c>
      <c r="B762" t="s">
        <v>55</v>
      </c>
      <c r="C762" t="s">
        <v>3076</v>
      </c>
      <c r="D762">
        <v>2896.33</v>
      </c>
      <c r="E762" t="s">
        <v>3077</v>
      </c>
      <c r="F762">
        <v>0</v>
      </c>
      <c r="G762">
        <v>0.43999999761581421</v>
      </c>
      <c r="H762">
        <v>0</v>
      </c>
      <c r="I762">
        <v>0</v>
      </c>
      <c r="J762" t="s">
        <v>3078</v>
      </c>
      <c r="K762">
        <v>2240</v>
      </c>
      <c r="L762">
        <v>1904</v>
      </c>
      <c r="M762">
        <v>-15</v>
      </c>
      <c r="N762">
        <v>0.9</v>
      </c>
      <c r="O762">
        <v>-1.57</v>
      </c>
      <c r="P762">
        <v>1.32</v>
      </c>
      <c r="Q762">
        <v>1.68</v>
      </c>
      <c r="R762">
        <v>-14.22</v>
      </c>
      <c r="S762">
        <v>-1.38</v>
      </c>
      <c r="T762">
        <v>0.89</v>
      </c>
      <c r="U762">
        <v>0.59</v>
      </c>
      <c r="V762">
        <v>1.03</v>
      </c>
      <c r="W762">
        <v>1.88</v>
      </c>
      <c r="X762">
        <v>1.82</v>
      </c>
      <c r="Y762">
        <v>1.51</v>
      </c>
      <c r="Z762">
        <v>1.01</v>
      </c>
      <c r="AA762">
        <v>2.66</v>
      </c>
      <c r="AB762">
        <v>1.28</v>
      </c>
      <c r="AC762">
        <v>0.89</v>
      </c>
      <c r="AD762">
        <v>7.81</v>
      </c>
      <c r="AE762">
        <v>0.91</v>
      </c>
      <c r="AF762">
        <v>2.4266666666666659</v>
      </c>
      <c r="AG762" t="str">
        <f>HYPERLINK("https://finance.naver.com/item/fchart.naver?code=080420", "모다이노칩 차트보기")</f>
        <v>모다이노칩 차트보기</v>
      </c>
    </row>
    <row r="763" spans="1:33" x14ac:dyDescent="0.3">
      <c r="A763" t="s">
        <v>3079</v>
      </c>
      <c r="B763" t="s">
        <v>55</v>
      </c>
      <c r="C763" t="s">
        <v>3080</v>
      </c>
      <c r="D763">
        <v>673763.95</v>
      </c>
      <c r="E763" t="s">
        <v>3081</v>
      </c>
      <c r="F763">
        <v>0</v>
      </c>
      <c r="G763">
        <v>2.7999999523162842</v>
      </c>
      <c r="H763">
        <v>0</v>
      </c>
      <c r="I763">
        <v>0</v>
      </c>
      <c r="J763" t="s">
        <v>3082</v>
      </c>
      <c r="K763">
        <v>8873</v>
      </c>
      <c r="L763">
        <v>4520</v>
      </c>
      <c r="M763">
        <v>-49.06</v>
      </c>
      <c r="N763">
        <v>-10.85</v>
      </c>
      <c r="O763">
        <v>-4.91</v>
      </c>
      <c r="P763">
        <v>-11.09</v>
      </c>
      <c r="Q763">
        <v>-43.67</v>
      </c>
      <c r="R763">
        <v>-9.5299999999999994</v>
      </c>
      <c r="S763">
        <v>-9.43</v>
      </c>
      <c r="T763">
        <v>3.41</v>
      </c>
      <c r="U763">
        <v>5.31</v>
      </c>
      <c r="V763">
        <v>2.91</v>
      </c>
      <c r="W763">
        <v>9.65</v>
      </c>
      <c r="X763">
        <v>8.06</v>
      </c>
      <c r="Y763">
        <v>9.99</v>
      </c>
      <c r="Z763">
        <v>3.18</v>
      </c>
      <c r="AA763">
        <v>0.92</v>
      </c>
      <c r="AB763">
        <v>3.81</v>
      </c>
      <c r="AC763">
        <v>4.53</v>
      </c>
      <c r="AD763">
        <v>1.18</v>
      </c>
      <c r="AE763">
        <v>0.94</v>
      </c>
      <c r="AF763">
        <v>2.4266666666666672</v>
      </c>
      <c r="AG763" t="str">
        <f>HYPERLINK("https://finance.naver.com/item/fchart.naver?code=294090", "이오플로우 차트보기")</f>
        <v>이오플로우 차트보기</v>
      </c>
    </row>
    <row r="764" spans="1:33" x14ac:dyDescent="0.3">
      <c r="A764" t="s">
        <v>3083</v>
      </c>
      <c r="B764" t="s">
        <v>55</v>
      </c>
      <c r="C764" t="s">
        <v>3084</v>
      </c>
      <c r="D764">
        <v>7537.43</v>
      </c>
      <c r="E764" t="s">
        <v>3085</v>
      </c>
      <c r="F764">
        <v>39.6</v>
      </c>
      <c r="G764">
        <v>0.95999997854232788</v>
      </c>
      <c r="H764">
        <v>125</v>
      </c>
      <c r="I764">
        <v>0</v>
      </c>
      <c r="J764" t="s">
        <v>3086</v>
      </c>
      <c r="K764">
        <v>5990</v>
      </c>
      <c r="L764">
        <v>4950</v>
      </c>
      <c r="M764">
        <v>-17.36</v>
      </c>
      <c r="N764">
        <v>0.3</v>
      </c>
      <c r="O764">
        <v>-3.82</v>
      </c>
      <c r="P764">
        <v>-6.29</v>
      </c>
      <c r="Q764">
        <v>-12.72</v>
      </c>
      <c r="R764">
        <v>1.1299999999999999</v>
      </c>
      <c r="S764">
        <v>-0.33</v>
      </c>
      <c r="T764">
        <v>0.79</v>
      </c>
      <c r="U764">
        <v>1.34</v>
      </c>
      <c r="V764">
        <v>1.85</v>
      </c>
      <c r="W764">
        <v>1.9</v>
      </c>
      <c r="X764">
        <v>1.04</v>
      </c>
      <c r="Y764">
        <v>2.06</v>
      </c>
      <c r="Z764">
        <v>0.38</v>
      </c>
      <c r="AA764">
        <v>2.85</v>
      </c>
      <c r="AB764">
        <v>3.4</v>
      </c>
      <c r="AC764">
        <v>6.69</v>
      </c>
      <c r="AD764">
        <v>1.0900000000000001</v>
      </c>
      <c r="AE764">
        <v>0.16</v>
      </c>
      <c r="AF764">
        <v>2.4283333333333328</v>
      </c>
      <c r="AG764" t="str">
        <f>HYPERLINK("https://finance.naver.com/item/fchart.naver?code=109740", "디에스케이 차트보기")</f>
        <v>디에스케이 차트보기</v>
      </c>
    </row>
    <row r="765" spans="1:33" x14ac:dyDescent="0.3">
      <c r="A765" t="s">
        <v>3087</v>
      </c>
      <c r="B765" t="s">
        <v>55</v>
      </c>
      <c r="C765" t="s">
        <v>3088</v>
      </c>
      <c r="D765">
        <v>55057.57</v>
      </c>
      <c r="E765" t="s">
        <v>3089</v>
      </c>
      <c r="F765">
        <v>3.9</v>
      </c>
      <c r="G765">
        <v>0.37999999523162842</v>
      </c>
      <c r="H765">
        <v>1066</v>
      </c>
      <c r="I765">
        <v>3.6099998950958252</v>
      </c>
      <c r="J765" t="s">
        <v>3090</v>
      </c>
      <c r="K765">
        <v>5570</v>
      </c>
      <c r="L765">
        <v>4160</v>
      </c>
      <c r="M765">
        <v>-25.31</v>
      </c>
      <c r="N765">
        <v>2.84</v>
      </c>
      <c r="O765">
        <v>-2.52</v>
      </c>
      <c r="P765">
        <v>-7.14</v>
      </c>
      <c r="Q765">
        <v>-16.52</v>
      </c>
      <c r="R765">
        <v>3.93</v>
      </c>
      <c r="S765">
        <v>-0.56000000000000005</v>
      </c>
      <c r="T765">
        <v>0.96</v>
      </c>
      <c r="U765">
        <v>1.51</v>
      </c>
      <c r="V765">
        <v>1.96</v>
      </c>
      <c r="W765">
        <v>3.35</v>
      </c>
      <c r="X765">
        <v>3.82</v>
      </c>
      <c r="Y765">
        <v>1.58</v>
      </c>
      <c r="Z765">
        <v>2.96</v>
      </c>
      <c r="AA765">
        <v>1.67</v>
      </c>
      <c r="AB765">
        <v>3.64</v>
      </c>
      <c r="AC765">
        <v>4.93</v>
      </c>
      <c r="AD765">
        <v>1.03</v>
      </c>
      <c r="AE765">
        <v>0.35</v>
      </c>
      <c r="AF765">
        <v>2.4300000000000002</v>
      </c>
      <c r="AG765" t="str">
        <f>HYPERLINK("https://finance.naver.com/item/fchart.naver?code=024880", "케이피에프 차트보기")</f>
        <v>케이피에프 차트보기</v>
      </c>
    </row>
    <row r="766" spans="1:33" x14ac:dyDescent="0.3">
      <c r="A766" t="s">
        <v>3091</v>
      </c>
      <c r="B766" t="s">
        <v>34</v>
      </c>
      <c r="C766" t="s">
        <v>3092</v>
      </c>
      <c r="D766">
        <v>108027</v>
      </c>
      <c r="E766" t="s">
        <v>3093</v>
      </c>
      <c r="F766">
        <v>0</v>
      </c>
      <c r="G766">
        <v>1.0399999618530269</v>
      </c>
      <c r="H766">
        <v>0</v>
      </c>
      <c r="I766">
        <v>0</v>
      </c>
      <c r="J766" t="s">
        <v>3094</v>
      </c>
      <c r="K766">
        <v>1104</v>
      </c>
      <c r="L766">
        <v>746</v>
      </c>
      <c r="M766">
        <v>-32.43</v>
      </c>
      <c r="N766">
        <v>6.72</v>
      </c>
      <c r="O766">
        <v>-4.28</v>
      </c>
      <c r="P766">
        <v>-1.0900000000000001</v>
      </c>
      <c r="Q766">
        <v>-2.39</v>
      </c>
      <c r="R766">
        <v>-12.5</v>
      </c>
      <c r="S766">
        <v>-13.44</v>
      </c>
      <c r="T766">
        <v>5.05</v>
      </c>
      <c r="U766">
        <v>1.77</v>
      </c>
      <c r="V766">
        <v>4.4800000000000004</v>
      </c>
      <c r="W766">
        <v>3.4</v>
      </c>
      <c r="X766">
        <v>3.11</v>
      </c>
      <c r="Y766">
        <v>2.29</v>
      </c>
      <c r="Z766">
        <v>1.33</v>
      </c>
      <c r="AA766">
        <v>2.42</v>
      </c>
      <c r="AB766">
        <v>0.24</v>
      </c>
      <c r="AC766">
        <v>0.7</v>
      </c>
      <c r="AD766">
        <v>4.0199999999999996</v>
      </c>
      <c r="AE766">
        <v>5.87</v>
      </c>
      <c r="AF766">
        <v>2.4300000000000002</v>
      </c>
      <c r="AG766" t="str">
        <f>HYPERLINK("https://finance.naver.com/item/fchart.naver?code=015260", "에이엔피 차트보기")</f>
        <v>에이엔피 차트보기</v>
      </c>
    </row>
    <row r="767" spans="1:33" x14ac:dyDescent="0.3">
      <c r="A767" t="s">
        <v>3095</v>
      </c>
      <c r="B767" t="s">
        <v>55</v>
      </c>
      <c r="C767" t="s">
        <v>3096</v>
      </c>
      <c r="D767">
        <v>12396.24</v>
      </c>
      <c r="E767" t="s">
        <v>3097</v>
      </c>
      <c r="F767">
        <v>12.42</v>
      </c>
      <c r="G767">
        <v>1.830000042915344</v>
      </c>
      <c r="H767">
        <v>5104</v>
      </c>
      <c r="I767">
        <v>0.94999998807907104</v>
      </c>
      <c r="J767" t="s">
        <v>3098</v>
      </c>
      <c r="K767">
        <v>89200</v>
      </c>
      <c r="L767">
        <v>63400</v>
      </c>
      <c r="M767">
        <v>-28.92</v>
      </c>
      <c r="N767">
        <v>-9.3000000000000007</v>
      </c>
      <c r="O767">
        <v>-7.75</v>
      </c>
      <c r="P767">
        <v>5.6</v>
      </c>
      <c r="Q767">
        <v>-7.51</v>
      </c>
      <c r="R767">
        <v>-6.37</v>
      </c>
      <c r="S767">
        <v>2.46</v>
      </c>
      <c r="T767">
        <v>3.16</v>
      </c>
      <c r="U767">
        <v>2.25</v>
      </c>
      <c r="V767">
        <v>1.93</v>
      </c>
      <c r="W767">
        <v>3.82</v>
      </c>
      <c r="X767">
        <v>2.5299999999999998</v>
      </c>
      <c r="Y767">
        <v>3.02</v>
      </c>
      <c r="Z767">
        <v>2.94</v>
      </c>
      <c r="AA767">
        <v>3.44</v>
      </c>
      <c r="AB767">
        <v>2.9</v>
      </c>
      <c r="AC767">
        <v>1.97</v>
      </c>
      <c r="AD767">
        <v>2.52</v>
      </c>
      <c r="AE767">
        <v>0.81</v>
      </c>
      <c r="AF767">
        <v>2.4300000000000002</v>
      </c>
      <c r="AG767" t="str">
        <f>HYPERLINK("https://finance.naver.com/item/fchart.naver?code=093320", "케이아이엔엑스 차트보기")</f>
        <v>케이아이엔엑스 차트보기</v>
      </c>
    </row>
    <row r="768" spans="1:33" x14ac:dyDescent="0.3">
      <c r="A768" t="s">
        <v>3099</v>
      </c>
      <c r="B768" t="s">
        <v>55</v>
      </c>
      <c r="C768" t="s">
        <v>3100</v>
      </c>
      <c r="D768">
        <v>86463.24</v>
      </c>
      <c r="E768" t="s">
        <v>3101</v>
      </c>
      <c r="F768">
        <v>0</v>
      </c>
      <c r="G768">
        <v>18.89999961853027</v>
      </c>
      <c r="H768">
        <v>0</v>
      </c>
      <c r="I768">
        <v>0</v>
      </c>
      <c r="J768" t="s">
        <v>3102</v>
      </c>
      <c r="K768">
        <v>176200</v>
      </c>
      <c r="L768">
        <v>127300</v>
      </c>
      <c r="M768">
        <v>-27.75</v>
      </c>
      <c r="N768">
        <v>5.91</v>
      </c>
      <c r="O768">
        <v>-9.5299999999999994</v>
      </c>
      <c r="P768">
        <v>-5.35</v>
      </c>
      <c r="Q768">
        <v>1.19</v>
      </c>
      <c r="R768">
        <v>-12.73</v>
      </c>
      <c r="S768">
        <v>-0.37</v>
      </c>
      <c r="T768">
        <v>4.1500000000000004</v>
      </c>
      <c r="U768">
        <v>2.29</v>
      </c>
      <c r="V768">
        <v>2.4900000000000002</v>
      </c>
      <c r="W768">
        <v>4.9400000000000004</v>
      </c>
      <c r="X768">
        <v>2.0099999999999998</v>
      </c>
      <c r="Y768">
        <v>1.26</v>
      </c>
      <c r="Z768">
        <v>1.42</v>
      </c>
      <c r="AA768">
        <v>4.16</v>
      </c>
      <c r="AB768">
        <v>2.15</v>
      </c>
      <c r="AC768">
        <v>0.24</v>
      </c>
      <c r="AD768">
        <v>6.33</v>
      </c>
      <c r="AE768">
        <v>0.28999999999999998</v>
      </c>
      <c r="AF768">
        <v>2.4316666666666671</v>
      </c>
      <c r="AG768" t="str">
        <f>HYPERLINK("https://finance.naver.com/item/fchart.naver?code=277810", "레인보우로보틱스 차트보기")</f>
        <v>레인보우로보틱스 차트보기</v>
      </c>
    </row>
    <row r="769" spans="1:33" x14ac:dyDescent="0.3">
      <c r="A769" t="s">
        <v>3103</v>
      </c>
      <c r="B769" t="s">
        <v>34</v>
      </c>
      <c r="C769" t="s">
        <v>3104</v>
      </c>
      <c r="D769">
        <v>642319.1</v>
      </c>
      <c r="E769" t="s">
        <v>3105</v>
      </c>
      <c r="F769">
        <v>0</v>
      </c>
      <c r="G769">
        <v>0.34999999403953552</v>
      </c>
      <c r="H769">
        <v>0</v>
      </c>
      <c r="I769">
        <v>1.690000057220459</v>
      </c>
      <c r="J769" t="s">
        <v>3106</v>
      </c>
      <c r="K769">
        <v>2045</v>
      </c>
      <c r="L769">
        <v>1477</v>
      </c>
      <c r="M769">
        <v>-27.78</v>
      </c>
      <c r="N769">
        <v>0.89</v>
      </c>
      <c r="O769">
        <v>-5.05</v>
      </c>
      <c r="P769">
        <v>-1.33</v>
      </c>
      <c r="Q769">
        <v>-7.05</v>
      </c>
      <c r="R769">
        <v>-4.6100000000000003</v>
      </c>
      <c r="S769">
        <v>-2.63</v>
      </c>
      <c r="T769">
        <v>1.1200000000000001</v>
      </c>
      <c r="U769">
        <v>1.41</v>
      </c>
      <c r="V769">
        <v>1.58</v>
      </c>
      <c r="W769">
        <v>2.88</v>
      </c>
      <c r="X769">
        <v>1.07</v>
      </c>
      <c r="Y769">
        <v>1</v>
      </c>
      <c r="Z769">
        <v>0.79</v>
      </c>
      <c r="AA769">
        <v>3.58</v>
      </c>
      <c r="AB769">
        <v>0.84</v>
      </c>
      <c r="AC769">
        <v>2.4500000000000002</v>
      </c>
      <c r="AD769">
        <v>4.3099999999999996</v>
      </c>
      <c r="AE769">
        <v>2.63</v>
      </c>
      <c r="AF769">
        <v>2.4333333333333331</v>
      </c>
      <c r="AG769" t="str">
        <f>HYPERLINK("https://finance.naver.com/item/fchart.naver?code=012200", "계양전기 차트보기")</f>
        <v>계양전기 차트보기</v>
      </c>
    </row>
    <row r="770" spans="1:33" x14ac:dyDescent="0.3">
      <c r="A770" t="s">
        <v>3107</v>
      </c>
      <c r="B770" t="s">
        <v>34</v>
      </c>
      <c r="C770" t="s">
        <v>3108</v>
      </c>
      <c r="D770">
        <v>9798.6200000000008</v>
      </c>
      <c r="E770" t="s">
        <v>3109</v>
      </c>
      <c r="F770">
        <v>13.86</v>
      </c>
      <c r="G770">
        <v>0.70999997854232788</v>
      </c>
      <c r="H770">
        <v>573</v>
      </c>
      <c r="I770">
        <v>5.6700000762939453</v>
      </c>
      <c r="J770" t="s">
        <v>3110</v>
      </c>
      <c r="K770">
        <v>10980</v>
      </c>
      <c r="L770">
        <v>7940</v>
      </c>
      <c r="M770">
        <v>-27.69</v>
      </c>
      <c r="N770">
        <v>-1.85</v>
      </c>
      <c r="O770">
        <v>-0.49</v>
      </c>
      <c r="P770">
        <v>-1.93</v>
      </c>
      <c r="Q770">
        <v>-3.6</v>
      </c>
      <c r="R770">
        <v>-4.09</v>
      </c>
      <c r="S770">
        <v>-4.9000000000000004</v>
      </c>
      <c r="T770">
        <v>0.87</v>
      </c>
      <c r="U770">
        <v>1.04</v>
      </c>
      <c r="V770">
        <v>0.93</v>
      </c>
      <c r="W770">
        <v>1.84</v>
      </c>
      <c r="X770">
        <v>1.24</v>
      </c>
      <c r="Y770">
        <v>1.05</v>
      </c>
      <c r="Z770">
        <v>2.13</v>
      </c>
      <c r="AA770">
        <v>0.47</v>
      </c>
      <c r="AB770">
        <v>2.08</v>
      </c>
      <c r="AC770">
        <v>1.96</v>
      </c>
      <c r="AD770">
        <v>3.3</v>
      </c>
      <c r="AE770">
        <v>4.67</v>
      </c>
      <c r="AF770">
        <v>2.4350000000000001</v>
      </c>
      <c r="AG770" t="str">
        <f>HYPERLINK("https://finance.naver.com/item/fchart.naver?code=039570", "HDC랩스 차트보기")</f>
        <v>HDC랩스 차트보기</v>
      </c>
    </row>
    <row r="771" spans="1:33" x14ac:dyDescent="0.3">
      <c r="A771" t="s">
        <v>3111</v>
      </c>
      <c r="B771" t="s">
        <v>55</v>
      </c>
      <c r="C771" t="s">
        <v>3112</v>
      </c>
      <c r="D771">
        <v>93356.05</v>
      </c>
      <c r="E771" t="s">
        <v>3113</v>
      </c>
      <c r="F771">
        <v>0</v>
      </c>
      <c r="G771">
        <v>18.059999465942379</v>
      </c>
      <c r="H771">
        <v>0</v>
      </c>
      <c r="I771">
        <v>0</v>
      </c>
      <c r="J771" t="s">
        <v>3114</v>
      </c>
      <c r="K771">
        <v>8470</v>
      </c>
      <c r="L771">
        <v>8180</v>
      </c>
      <c r="M771">
        <v>-3.42</v>
      </c>
      <c r="N771">
        <v>-3.76</v>
      </c>
      <c r="O771">
        <v>6.12</v>
      </c>
      <c r="P771">
        <v>-13.38</v>
      </c>
      <c r="Q771">
        <v>14.63</v>
      </c>
      <c r="R771">
        <v>-4.3600000000000003</v>
      </c>
      <c r="S771">
        <v>8.77</v>
      </c>
      <c r="T771">
        <v>1.1000000000000001</v>
      </c>
      <c r="U771">
        <v>3.08</v>
      </c>
      <c r="V771">
        <v>3.4</v>
      </c>
      <c r="W771">
        <v>5.31</v>
      </c>
      <c r="X771">
        <v>2.76</v>
      </c>
      <c r="Y771">
        <v>9.44</v>
      </c>
      <c r="Z771">
        <v>3.42</v>
      </c>
      <c r="AA771">
        <v>1.99</v>
      </c>
      <c r="AB771">
        <v>3.94</v>
      </c>
      <c r="AC771">
        <v>2.76</v>
      </c>
      <c r="AD771">
        <v>1.58</v>
      </c>
      <c r="AE771">
        <v>0.93</v>
      </c>
      <c r="AF771">
        <v>2.436666666666667</v>
      </c>
      <c r="AG771" t="str">
        <f>HYPERLINK("https://finance.naver.com/item/fchart.naver?code=203400", "에이비온 차트보기")</f>
        <v>에이비온 차트보기</v>
      </c>
    </row>
    <row r="772" spans="1:33" x14ac:dyDescent="0.3">
      <c r="A772" t="s">
        <v>3115</v>
      </c>
      <c r="B772" t="s">
        <v>55</v>
      </c>
      <c r="C772" t="s">
        <v>3116</v>
      </c>
      <c r="D772">
        <v>45583.38</v>
      </c>
      <c r="E772" t="s">
        <v>3117</v>
      </c>
      <c r="F772">
        <v>39.380000000000003</v>
      </c>
      <c r="G772">
        <v>1.7400000095367429</v>
      </c>
      <c r="H772">
        <v>177</v>
      </c>
      <c r="I772">
        <v>0</v>
      </c>
      <c r="J772" t="s">
        <v>3118</v>
      </c>
      <c r="K772">
        <v>11970</v>
      </c>
      <c r="L772">
        <v>6970</v>
      </c>
      <c r="M772">
        <v>-41.77</v>
      </c>
      <c r="N772">
        <v>-2.11</v>
      </c>
      <c r="O772">
        <v>-1.6</v>
      </c>
      <c r="P772">
        <v>-5.01</v>
      </c>
      <c r="Q772">
        <v>-15.94</v>
      </c>
      <c r="R772">
        <v>-10.36</v>
      </c>
      <c r="S772">
        <v>5.1100000000000003</v>
      </c>
      <c r="T772">
        <v>4.18</v>
      </c>
      <c r="U772">
        <v>3.46</v>
      </c>
      <c r="V772">
        <v>3.24</v>
      </c>
      <c r="W772">
        <v>4.46</v>
      </c>
      <c r="X772">
        <v>1.85</v>
      </c>
      <c r="Y772">
        <v>1.74</v>
      </c>
      <c r="Z772">
        <v>0.5</v>
      </c>
      <c r="AA772">
        <v>0.46</v>
      </c>
      <c r="AB772">
        <v>1.55</v>
      </c>
      <c r="AC772">
        <v>3.57</v>
      </c>
      <c r="AD772">
        <v>5.6</v>
      </c>
      <c r="AE772">
        <v>2.94</v>
      </c>
      <c r="AF772">
        <v>2.436666666666667</v>
      </c>
      <c r="AG772" t="str">
        <f>HYPERLINK("https://finance.naver.com/item/fchart.naver?code=311320", "지오엘리먼트 차트보기")</f>
        <v>지오엘리먼트 차트보기</v>
      </c>
    </row>
    <row r="773" spans="1:33" x14ac:dyDescent="0.3">
      <c r="A773" t="s">
        <v>3119</v>
      </c>
      <c r="B773" t="s">
        <v>34</v>
      </c>
      <c r="C773" t="s">
        <v>3120</v>
      </c>
      <c r="D773">
        <v>46835.86</v>
      </c>
      <c r="E773" t="s">
        <v>3121</v>
      </c>
      <c r="F773">
        <v>0</v>
      </c>
      <c r="G773">
        <v>0.2099999934434891</v>
      </c>
      <c r="H773">
        <v>0</v>
      </c>
      <c r="I773">
        <v>3.0199999809265141</v>
      </c>
      <c r="J773" t="s">
        <v>3122</v>
      </c>
      <c r="K773">
        <v>50400</v>
      </c>
      <c r="L773">
        <v>43050</v>
      </c>
      <c r="M773">
        <v>-14.58</v>
      </c>
      <c r="N773">
        <v>-7.12</v>
      </c>
      <c r="O773">
        <v>-3.29</v>
      </c>
      <c r="P773">
        <v>3.49</v>
      </c>
      <c r="Q773">
        <v>-2.0499999999999998</v>
      </c>
      <c r="R773">
        <v>-2.79</v>
      </c>
      <c r="S773">
        <v>-2.4</v>
      </c>
      <c r="T773">
        <v>1.46</v>
      </c>
      <c r="U773">
        <v>1.29</v>
      </c>
      <c r="V773">
        <v>2.11</v>
      </c>
      <c r="W773">
        <v>1.97</v>
      </c>
      <c r="X773">
        <v>1.03</v>
      </c>
      <c r="Y773">
        <v>1.34</v>
      </c>
      <c r="Z773">
        <v>4.88</v>
      </c>
      <c r="AA773">
        <v>2.5499999999999998</v>
      </c>
      <c r="AB773">
        <v>1.65</v>
      </c>
      <c r="AC773">
        <v>1.04</v>
      </c>
      <c r="AD773">
        <v>2.71</v>
      </c>
      <c r="AE773">
        <v>1.79</v>
      </c>
      <c r="AF773">
        <v>2.436666666666667</v>
      </c>
      <c r="AG773" t="str">
        <f>HYPERLINK("https://finance.naver.com/item/fchart.naver?code=069960", "현대백화점 차트보기")</f>
        <v>현대백화점 차트보기</v>
      </c>
    </row>
    <row r="774" spans="1:33" x14ac:dyDescent="0.3">
      <c r="A774" t="s">
        <v>3123</v>
      </c>
      <c r="B774" t="s">
        <v>55</v>
      </c>
      <c r="C774" t="s">
        <v>3124</v>
      </c>
      <c r="D774">
        <v>145780.85999999999</v>
      </c>
      <c r="E774" t="s">
        <v>3125</v>
      </c>
      <c r="F774">
        <v>11.87</v>
      </c>
      <c r="G774">
        <v>0.79000002145767212</v>
      </c>
      <c r="H774">
        <v>332</v>
      </c>
      <c r="I774">
        <v>0</v>
      </c>
      <c r="J774" t="s">
        <v>3126</v>
      </c>
      <c r="K774">
        <v>5230</v>
      </c>
      <c r="L774">
        <v>3940</v>
      </c>
      <c r="M774">
        <v>-24.67</v>
      </c>
      <c r="N774">
        <v>-1.75</v>
      </c>
      <c r="O774">
        <v>1.6</v>
      </c>
      <c r="P774">
        <v>3.36</v>
      </c>
      <c r="Q774">
        <v>-12.68</v>
      </c>
      <c r="R774">
        <v>0.76</v>
      </c>
      <c r="S774">
        <v>-11.85</v>
      </c>
      <c r="T774">
        <v>1.41</v>
      </c>
      <c r="U774">
        <v>4.8499999999999996</v>
      </c>
      <c r="V774">
        <v>1.83</v>
      </c>
      <c r="W774">
        <v>3.06</v>
      </c>
      <c r="X774">
        <v>2.46</v>
      </c>
      <c r="Y774">
        <v>1.75</v>
      </c>
      <c r="Z774">
        <v>1.24</v>
      </c>
      <c r="AA774">
        <v>0.33</v>
      </c>
      <c r="AB774">
        <v>1.84</v>
      </c>
      <c r="AC774">
        <v>4.1399999999999997</v>
      </c>
      <c r="AD774">
        <v>0.31</v>
      </c>
      <c r="AE774">
        <v>6.77</v>
      </c>
      <c r="AF774">
        <v>2.438333333333333</v>
      </c>
      <c r="AG774" t="str">
        <f>HYPERLINK("https://finance.naver.com/item/fchart.naver?code=036030", "케이티알파 차트보기")</f>
        <v>케이티알파 차트보기</v>
      </c>
    </row>
    <row r="775" spans="1:33" x14ac:dyDescent="0.3">
      <c r="A775" t="s">
        <v>3127</v>
      </c>
      <c r="B775" t="s">
        <v>55</v>
      </c>
      <c r="C775" t="s">
        <v>3128</v>
      </c>
      <c r="D775">
        <v>76925.899999999994</v>
      </c>
      <c r="E775" t="s">
        <v>3129</v>
      </c>
      <c r="F775">
        <v>18.22</v>
      </c>
      <c r="G775">
        <v>1.2100000381469731</v>
      </c>
      <c r="H775">
        <v>166</v>
      </c>
      <c r="I775">
        <v>3.6400001049041748</v>
      </c>
      <c r="J775" t="s">
        <v>3130</v>
      </c>
      <c r="K775">
        <v>2160</v>
      </c>
      <c r="L775">
        <v>3025</v>
      </c>
      <c r="M775">
        <v>40.049999999999997</v>
      </c>
      <c r="N775">
        <v>8.6199999999999992</v>
      </c>
      <c r="O775">
        <v>-0.96</v>
      </c>
      <c r="P775">
        <v>-5.7</v>
      </c>
      <c r="Q775">
        <v>53.25</v>
      </c>
      <c r="R775">
        <v>-3.63</v>
      </c>
      <c r="S775">
        <v>3.05</v>
      </c>
      <c r="T775">
        <v>6.02</v>
      </c>
      <c r="U775">
        <v>4.0599999999999996</v>
      </c>
      <c r="V775">
        <v>3.92</v>
      </c>
      <c r="W775">
        <v>7.42</v>
      </c>
      <c r="X775">
        <v>1.43</v>
      </c>
      <c r="Y775">
        <v>1.69</v>
      </c>
      <c r="Z775">
        <v>1.43</v>
      </c>
      <c r="AA775">
        <v>0.24</v>
      </c>
      <c r="AB775">
        <v>1.45</v>
      </c>
      <c r="AC775">
        <v>7.18</v>
      </c>
      <c r="AD775">
        <v>2.54</v>
      </c>
      <c r="AE775">
        <v>1.8</v>
      </c>
      <c r="AF775">
        <v>2.44</v>
      </c>
      <c r="AG775" t="str">
        <f>HYPERLINK("https://finance.naver.com/item/fchart.naver?code=098660", "에스티오 차트보기")</f>
        <v>에스티오 차트보기</v>
      </c>
    </row>
    <row r="776" spans="1:33" x14ac:dyDescent="0.3">
      <c r="A776" t="s">
        <v>3131</v>
      </c>
      <c r="B776" t="s">
        <v>55</v>
      </c>
      <c r="C776" t="s">
        <v>3132</v>
      </c>
      <c r="D776">
        <v>21674.95</v>
      </c>
      <c r="E776" t="s">
        <v>3133</v>
      </c>
      <c r="F776">
        <v>0</v>
      </c>
      <c r="G776">
        <v>1.5900000333786011</v>
      </c>
      <c r="H776">
        <v>0</v>
      </c>
      <c r="I776">
        <v>0</v>
      </c>
      <c r="J776" t="s">
        <v>3134</v>
      </c>
      <c r="K776">
        <v>77800</v>
      </c>
      <c r="L776">
        <v>47550</v>
      </c>
      <c r="M776">
        <v>-38.880000000000003</v>
      </c>
      <c r="N776">
        <v>-12.43</v>
      </c>
      <c r="O776">
        <v>-11.73</v>
      </c>
      <c r="P776">
        <v>-0.66</v>
      </c>
      <c r="Q776">
        <v>-4.63</v>
      </c>
      <c r="R776">
        <v>-15.76</v>
      </c>
      <c r="S776">
        <v>-1.24</v>
      </c>
      <c r="T776">
        <v>3.62</v>
      </c>
      <c r="U776">
        <v>2.86</v>
      </c>
      <c r="V776">
        <v>3.3</v>
      </c>
      <c r="W776">
        <v>5.08</v>
      </c>
      <c r="X776">
        <v>2.91</v>
      </c>
      <c r="Y776">
        <v>2.11</v>
      </c>
      <c r="Z776">
        <v>3.43</v>
      </c>
      <c r="AA776">
        <v>4.0999999999999996</v>
      </c>
      <c r="AB776">
        <v>0.2</v>
      </c>
      <c r="AC776">
        <v>0.91</v>
      </c>
      <c r="AD776">
        <v>5.42</v>
      </c>
      <c r="AE776">
        <v>0.59</v>
      </c>
      <c r="AF776">
        <v>2.441666666666666</v>
      </c>
      <c r="AG776" t="str">
        <f>HYPERLINK("https://finance.naver.com/item/fchart.naver?code=278280", "천보 차트보기")</f>
        <v>천보 차트보기</v>
      </c>
    </row>
    <row r="777" spans="1:33" x14ac:dyDescent="0.3">
      <c r="A777" t="s">
        <v>3135</v>
      </c>
      <c r="B777" t="s">
        <v>55</v>
      </c>
      <c r="C777" t="s">
        <v>3136</v>
      </c>
      <c r="D777">
        <v>113000.57</v>
      </c>
      <c r="E777" t="s">
        <v>3137</v>
      </c>
      <c r="F777">
        <v>0</v>
      </c>
      <c r="G777">
        <v>3.9200000762939449</v>
      </c>
      <c r="H777">
        <v>0</v>
      </c>
      <c r="I777">
        <v>0</v>
      </c>
      <c r="J777" t="s">
        <v>3138</v>
      </c>
      <c r="K777">
        <v>20750</v>
      </c>
      <c r="L777">
        <v>13280</v>
      </c>
      <c r="M777">
        <v>-36</v>
      </c>
      <c r="N777">
        <v>-1.92</v>
      </c>
      <c r="O777">
        <v>-5.45</v>
      </c>
      <c r="P777">
        <v>-0.92</v>
      </c>
      <c r="Q777">
        <v>-12.69</v>
      </c>
      <c r="R777">
        <v>-16.3</v>
      </c>
      <c r="S777">
        <v>-17.489999999999998</v>
      </c>
      <c r="T777">
        <v>3.56</v>
      </c>
      <c r="U777">
        <v>2.9</v>
      </c>
      <c r="V777">
        <v>3.34</v>
      </c>
      <c r="W777">
        <v>5.54</v>
      </c>
      <c r="X777">
        <v>3.62</v>
      </c>
      <c r="Y777">
        <v>3.39</v>
      </c>
      <c r="Z777">
        <v>0.54</v>
      </c>
      <c r="AA777">
        <v>1.88</v>
      </c>
      <c r="AB777">
        <v>0.28000000000000003</v>
      </c>
      <c r="AC777">
        <v>2.29</v>
      </c>
      <c r="AD777">
        <v>4.5</v>
      </c>
      <c r="AE777">
        <v>5.16</v>
      </c>
      <c r="AF777">
        <v>2.4416666666666669</v>
      </c>
      <c r="AG777" t="str">
        <f>HYPERLINK("https://finance.naver.com/item/fchart.naver?code=094360", "칩스앤미디어 차트보기")</f>
        <v>칩스앤미디어 차트보기</v>
      </c>
    </row>
    <row r="778" spans="1:33" x14ac:dyDescent="0.3">
      <c r="A778" t="s">
        <v>3139</v>
      </c>
      <c r="B778" t="s">
        <v>55</v>
      </c>
      <c r="C778" t="s">
        <v>3140</v>
      </c>
      <c r="D778">
        <v>41962.71</v>
      </c>
      <c r="E778" t="s">
        <v>3141</v>
      </c>
      <c r="F778">
        <v>0</v>
      </c>
      <c r="G778">
        <v>1.1000000238418579</v>
      </c>
      <c r="H778">
        <v>0</v>
      </c>
      <c r="I778">
        <v>0</v>
      </c>
      <c r="J778" t="s">
        <v>3142</v>
      </c>
      <c r="K778">
        <v>2610</v>
      </c>
      <c r="L778">
        <v>2200</v>
      </c>
      <c r="M778">
        <v>-15.71</v>
      </c>
      <c r="N778">
        <v>-7.76</v>
      </c>
      <c r="O778">
        <v>-3.06</v>
      </c>
      <c r="P778">
        <v>1.69</v>
      </c>
      <c r="Q778">
        <v>-8.1199999999999992</v>
      </c>
      <c r="R778">
        <v>-0.2</v>
      </c>
      <c r="S778">
        <v>-3.31</v>
      </c>
      <c r="T778">
        <v>1.51</v>
      </c>
      <c r="U778">
        <v>1.49</v>
      </c>
      <c r="V778">
        <v>3</v>
      </c>
      <c r="W778">
        <v>3.18</v>
      </c>
      <c r="X778">
        <v>1.22</v>
      </c>
      <c r="Y778">
        <v>0.79</v>
      </c>
      <c r="Z778">
        <v>5.14</v>
      </c>
      <c r="AA778">
        <v>2.0499999999999998</v>
      </c>
      <c r="AB778">
        <v>0.56000000000000005</v>
      </c>
      <c r="AC778">
        <v>2.5499999999999998</v>
      </c>
      <c r="AD778">
        <v>0.16</v>
      </c>
      <c r="AE778">
        <v>4.1900000000000004</v>
      </c>
      <c r="AF778">
        <v>2.4416666666666669</v>
      </c>
      <c r="AG778" t="str">
        <f>HYPERLINK("https://finance.naver.com/item/fchart.naver?code=154030", "아시아종묘 차트보기")</f>
        <v>아시아종묘 차트보기</v>
      </c>
    </row>
    <row r="779" spans="1:33" x14ac:dyDescent="0.3">
      <c r="A779" t="s">
        <v>3143</v>
      </c>
      <c r="B779" t="s">
        <v>55</v>
      </c>
      <c r="C779" t="s">
        <v>3144</v>
      </c>
      <c r="D779">
        <v>26965.48</v>
      </c>
      <c r="E779" t="s">
        <v>3145</v>
      </c>
      <c r="F779">
        <v>0</v>
      </c>
      <c r="G779">
        <v>1.120000004768372</v>
      </c>
      <c r="H779">
        <v>0</v>
      </c>
      <c r="I779">
        <v>0</v>
      </c>
      <c r="J779" t="s">
        <v>3146</v>
      </c>
      <c r="K779">
        <v>1293</v>
      </c>
      <c r="L779">
        <v>1013</v>
      </c>
      <c r="M779">
        <v>-21.66</v>
      </c>
      <c r="N779">
        <v>-2.13</v>
      </c>
      <c r="O779">
        <v>-2.27</v>
      </c>
      <c r="P779">
        <v>0.75</v>
      </c>
      <c r="Q779">
        <v>-11.59</v>
      </c>
      <c r="R779">
        <v>-4.16</v>
      </c>
      <c r="S779">
        <v>-9.52</v>
      </c>
      <c r="T779">
        <v>1.73</v>
      </c>
      <c r="U779">
        <v>1.68</v>
      </c>
      <c r="V779">
        <v>1.59</v>
      </c>
      <c r="W779">
        <v>4.1900000000000004</v>
      </c>
      <c r="X779">
        <v>0.88</v>
      </c>
      <c r="Y779">
        <v>2.3199999999999998</v>
      </c>
      <c r="Z779">
        <v>1.23</v>
      </c>
      <c r="AA779">
        <v>1.35</v>
      </c>
      <c r="AB779">
        <v>0.47</v>
      </c>
      <c r="AC779">
        <v>2.77</v>
      </c>
      <c r="AD779">
        <v>4.7300000000000004</v>
      </c>
      <c r="AE779">
        <v>4.0999999999999996</v>
      </c>
      <c r="AF779">
        <v>2.4416666666666669</v>
      </c>
      <c r="AG779" t="str">
        <f>HYPERLINK("https://finance.naver.com/item/fchart.naver?code=065770", "CS 차트보기")</f>
        <v>CS 차트보기</v>
      </c>
    </row>
    <row r="780" spans="1:33" x14ac:dyDescent="0.3">
      <c r="A780" t="s">
        <v>3147</v>
      </c>
      <c r="B780" t="s">
        <v>55</v>
      </c>
      <c r="C780" t="s">
        <v>3148</v>
      </c>
      <c r="D780">
        <v>771358.81</v>
      </c>
      <c r="E780" t="s">
        <v>3149</v>
      </c>
      <c r="F780">
        <v>22.31</v>
      </c>
      <c r="G780">
        <v>0.69999998807907104</v>
      </c>
      <c r="H780">
        <v>130</v>
      </c>
      <c r="I780">
        <v>0</v>
      </c>
      <c r="J780" t="s">
        <v>3150</v>
      </c>
      <c r="K780">
        <v>3320</v>
      </c>
      <c r="L780">
        <v>2900</v>
      </c>
      <c r="M780">
        <v>-12.65</v>
      </c>
      <c r="N780">
        <v>-1.86</v>
      </c>
      <c r="O780">
        <v>2.75</v>
      </c>
      <c r="P780">
        <v>-0.17</v>
      </c>
      <c r="Q780">
        <v>-11.69</v>
      </c>
      <c r="R780">
        <v>-13.8</v>
      </c>
      <c r="S780">
        <v>10.64</v>
      </c>
      <c r="T780">
        <v>1.4</v>
      </c>
      <c r="U780">
        <v>1.03</v>
      </c>
      <c r="V780">
        <v>2.1800000000000002</v>
      </c>
      <c r="W780">
        <v>2.88</v>
      </c>
      <c r="X780">
        <v>3.13</v>
      </c>
      <c r="Y780">
        <v>5.05</v>
      </c>
      <c r="Z780">
        <v>1.33</v>
      </c>
      <c r="AA780">
        <v>2.67</v>
      </c>
      <c r="AB780">
        <v>0.08</v>
      </c>
      <c r="AC780">
        <v>4.0599999999999996</v>
      </c>
      <c r="AD780">
        <v>4.41</v>
      </c>
      <c r="AE780">
        <v>2.11</v>
      </c>
      <c r="AF780">
        <v>2.4433333333333329</v>
      </c>
      <c r="AG780" t="str">
        <f>HYPERLINK("https://finance.naver.com/item/fchart.naver?code=195500", "마니커에프앤지 차트보기")</f>
        <v>마니커에프앤지 차트보기</v>
      </c>
    </row>
    <row r="781" spans="1:33" x14ac:dyDescent="0.3">
      <c r="A781" t="s">
        <v>3151</v>
      </c>
      <c r="B781" t="s">
        <v>55</v>
      </c>
      <c r="C781" t="s">
        <v>3152</v>
      </c>
      <c r="D781">
        <v>343376.95</v>
      </c>
      <c r="E781" t="s">
        <v>3153</v>
      </c>
      <c r="F781">
        <v>0</v>
      </c>
      <c r="G781">
        <v>5.070000171661377</v>
      </c>
      <c r="H781">
        <v>0</v>
      </c>
      <c r="I781">
        <v>0</v>
      </c>
      <c r="J781" t="s">
        <v>3154</v>
      </c>
      <c r="K781">
        <v>45550</v>
      </c>
      <c r="L781">
        <v>39800</v>
      </c>
      <c r="M781">
        <v>-12.62</v>
      </c>
      <c r="N781">
        <v>3.65</v>
      </c>
      <c r="O781">
        <v>14.08</v>
      </c>
      <c r="P781">
        <v>0.15</v>
      </c>
      <c r="Q781">
        <v>-13.62</v>
      </c>
      <c r="R781">
        <v>-13.59</v>
      </c>
      <c r="S781">
        <v>-2.74</v>
      </c>
      <c r="T781">
        <v>5.16</v>
      </c>
      <c r="U781">
        <v>4.38</v>
      </c>
      <c r="V781">
        <v>3.31</v>
      </c>
      <c r="W781">
        <v>3.98</v>
      </c>
      <c r="X781">
        <v>2.2000000000000002</v>
      </c>
      <c r="Y781">
        <v>2.52</v>
      </c>
      <c r="Z781">
        <v>0.71</v>
      </c>
      <c r="AA781">
        <v>3.21</v>
      </c>
      <c r="AB781">
        <v>0.05</v>
      </c>
      <c r="AC781">
        <v>3.42</v>
      </c>
      <c r="AD781">
        <v>6.18</v>
      </c>
      <c r="AE781">
        <v>1.0900000000000001</v>
      </c>
      <c r="AF781">
        <v>2.4433333333333329</v>
      </c>
      <c r="AG781" t="str">
        <f>HYPERLINK("https://finance.naver.com/item/fchart.naver?code=112040", "위메이드 차트보기")</f>
        <v>위메이드 차트보기</v>
      </c>
    </row>
    <row r="782" spans="1:33" x14ac:dyDescent="0.3">
      <c r="A782" t="s">
        <v>3155</v>
      </c>
      <c r="B782" t="s">
        <v>55</v>
      </c>
      <c r="C782" t="s">
        <v>3156</v>
      </c>
      <c r="D782">
        <v>26292.14</v>
      </c>
      <c r="E782" t="s">
        <v>3157</v>
      </c>
      <c r="F782">
        <v>5.07</v>
      </c>
      <c r="G782">
        <v>0.38999998569488531</v>
      </c>
      <c r="H782">
        <v>258</v>
      </c>
      <c r="I782">
        <v>3.8199999332427979</v>
      </c>
      <c r="J782" t="s">
        <v>3158</v>
      </c>
      <c r="K782">
        <v>1498</v>
      </c>
      <c r="L782">
        <v>1308</v>
      </c>
      <c r="M782">
        <v>-12.68</v>
      </c>
      <c r="N782">
        <v>-2.17</v>
      </c>
      <c r="O782">
        <v>-2.19</v>
      </c>
      <c r="P782">
        <v>0.88</v>
      </c>
      <c r="Q782">
        <v>-1.02</v>
      </c>
      <c r="R782">
        <v>-6.93</v>
      </c>
      <c r="S782">
        <v>7.0000000000000007E-2</v>
      </c>
      <c r="T782">
        <v>1.17</v>
      </c>
      <c r="U782">
        <v>1.17</v>
      </c>
      <c r="V782">
        <v>0.77</v>
      </c>
      <c r="W782">
        <v>2.17</v>
      </c>
      <c r="X782">
        <v>0.75</v>
      </c>
      <c r="Y782">
        <v>0.72</v>
      </c>
      <c r="Z782">
        <v>1.85</v>
      </c>
      <c r="AA782">
        <v>1.87</v>
      </c>
      <c r="AB782">
        <v>1.1399999999999999</v>
      </c>
      <c r="AC782">
        <v>0.47</v>
      </c>
      <c r="AD782">
        <v>9.24</v>
      </c>
      <c r="AE782">
        <v>0.1</v>
      </c>
      <c r="AF782">
        <v>2.4449999999999998</v>
      </c>
      <c r="AG782" t="str">
        <f>HYPERLINK("https://finance.naver.com/item/fchart.naver?code=126640", "화신정공 차트보기")</f>
        <v>화신정공 차트보기</v>
      </c>
    </row>
    <row r="783" spans="1:33" x14ac:dyDescent="0.3">
      <c r="A783" t="s">
        <v>3159</v>
      </c>
      <c r="B783" t="s">
        <v>55</v>
      </c>
      <c r="C783" t="s">
        <v>3160</v>
      </c>
      <c r="D783">
        <v>23283.48</v>
      </c>
      <c r="E783" t="s">
        <v>3161</v>
      </c>
      <c r="F783">
        <v>0</v>
      </c>
      <c r="G783">
        <v>0.95999997854232788</v>
      </c>
      <c r="H783">
        <v>0</v>
      </c>
      <c r="I783">
        <v>0</v>
      </c>
      <c r="J783" t="s">
        <v>3162</v>
      </c>
      <c r="K783">
        <v>8490</v>
      </c>
      <c r="L783">
        <v>6680</v>
      </c>
      <c r="M783">
        <v>-21.32</v>
      </c>
      <c r="N783">
        <v>-3.75</v>
      </c>
      <c r="O783">
        <v>-1.55</v>
      </c>
      <c r="P783">
        <v>-10.43</v>
      </c>
      <c r="Q783">
        <v>5.75</v>
      </c>
      <c r="R783">
        <v>-9.0299999999999994</v>
      </c>
      <c r="S783">
        <v>-5.59</v>
      </c>
      <c r="T783">
        <v>2.15</v>
      </c>
      <c r="U783">
        <v>1.97</v>
      </c>
      <c r="V783">
        <v>2.4500000000000002</v>
      </c>
      <c r="W783">
        <v>7.39</v>
      </c>
      <c r="X783">
        <v>2.14</v>
      </c>
      <c r="Y783">
        <v>1.94</v>
      </c>
      <c r="Z783">
        <v>1.74</v>
      </c>
      <c r="AA783">
        <v>0.79</v>
      </c>
      <c r="AB783">
        <v>4.26</v>
      </c>
      <c r="AC783">
        <v>0.78</v>
      </c>
      <c r="AD783">
        <v>4.22</v>
      </c>
      <c r="AE783">
        <v>2.88</v>
      </c>
      <c r="AF783">
        <v>2.4449999999999998</v>
      </c>
      <c r="AG783" t="str">
        <f>HYPERLINK("https://finance.naver.com/item/fchart.naver?code=037370", "EG 차트보기")</f>
        <v>EG 차트보기</v>
      </c>
    </row>
    <row r="784" spans="1:33" x14ac:dyDescent="0.3">
      <c r="A784" t="s">
        <v>3163</v>
      </c>
      <c r="B784" t="s">
        <v>55</v>
      </c>
      <c r="C784" t="s">
        <v>3164</v>
      </c>
      <c r="D784">
        <v>248060.19</v>
      </c>
      <c r="E784" t="s">
        <v>3165</v>
      </c>
      <c r="F784">
        <v>0</v>
      </c>
      <c r="G784">
        <v>3.5999999046325679</v>
      </c>
      <c r="H784">
        <v>0</v>
      </c>
      <c r="I784">
        <v>0</v>
      </c>
      <c r="J784" t="s">
        <v>3166</v>
      </c>
      <c r="K784">
        <v>14500</v>
      </c>
      <c r="L784">
        <v>8670</v>
      </c>
      <c r="M784">
        <v>-40.21</v>
      </c>
      <c r="N784">
        <v>-7.37</v>
      </c>
      <c r="O784">
        <v>-1.54</v>
      </c>
      <c r="P784">
        <v>-6.62</v>
      </c>
      <c r="Q784">
        <v>-10.99</v>
      </c>
      <c r="R784">
        <v>-21.95</v>
      </c>
      <c r="S784">
        <v>2.48</v>
      </c>
      <c r="T784">
        <v>2.4700000000000002</v>
      </c>
      <c r="U784">
        <v>3.31</v>
      </c>
      <c r="V784">
        <v>3.8</v>
      </c>
      <c r="W784">
        <v>5.39</v>
      </c>
      <c r="X784">
        <v>3.22</v>
      </c>
      <c r="Y784">
        <v>4.0199999999999996</v>
      </c>
      <c r="Z784">
        <v>2.98</v>
      </c>
      <c r="AA784">
        <v>0.47</v>
      </c>
      <c r="AB784">
        <v>1.74</v>
      </c>
      <c r="AC784">
        <v>2.04</v>
      </c>
      <c r="AD784">
        <v>6.82</v>
      </c>
      <c r="AE784">
        <v>0.62</v>
      </c>
      <c r="AF784">
        <v>2.4449999999999998</v>
      </c>
      <c r="AG784" t="str">
        <f>HYPERLINK("https://finance.naver.com/item/fchart.naver?code=059090", "미코 차트보기")</f>
        <v>미코 차트보기</v>
      </c>
    </row>
    <row r="785" spans="1:33" x14ac:dyDescent="0.3">
      <c r="A785" t="s">
        <v>3167</v>
      </c>
      <c r="B785" t="s">
        <v>55</v>
      </c>
      <c r="C785" t="s">
        <v>3168</v>
      </c>
      <c r="D785">
        <v>119744.48</v>
      </c>
      <c r="E785" t="s">
        <v>3169</v>
      </c>
      <c r="F785">
        <v>21.93</v>
      </c>
      <c r="G785">
        <v>0.73000001907348633</v>
      </c>
      <c r="H785">
        <v>163</v>
      </c>
      <c r="I785">
        <v>0</v>
      </c>
      <c r="J785" t="s">
        <v>3170</v>
      </c>
      <c r="K785">
        <v>4335</v>
      </c>
      <c r="L785">
        <v>3575</v>
      </c>
      <c r="M785">
        <v>-17.53</v>
      </c>
      <c r="N785">
        <v>-1.79</v>
      </c>
      <c r="O785">
        <v>1.68</v>
      </c>
      <c r="P785">
        <v>3.62</v>
      </c>
      <c r="Q785">
        <v>-7.76</v>
      </c>
      <c r="R785">
        <v>-2.82</v>
      </c>
      <c r="S785">
        <v>-12.08</v>
      </c>
      <c r="T785">
        <v>1.22</v>
      </c>
      <c r="U785">
        <v>1.5</v>
      </c>
      <c r="V785">
        <v>2.1800000000000002</v>
      </c>
      <c r="W785">
        <v>4.2300000000000004</v>
      </c>
      <c r="X785">
        <v>1.63</v>
      </c>
      <c r="Y785">
        <v>1.76</v>
      </c>
      <c r="Z785">
        <v>1.47</v>
      </c>
      <c r="AA785">
        <v>1.1200000000000001</v>
      </c>
      <c r="AB785">
        <v>1.66</v>
      </c>
      <c r="AC785">
        <v>1.83</v>
      </c>
      <c r="AD785">
        <v>1.73</v>
      </c>
      <c r="AE785">
        <v>6.86</v>
      </c>
      <c r="AF785">
        <v>2.4449999999999998</v>
      </c>
      <c r="AG785" t="str">
        <f>HYPERLINK("https://finance.naver.com/item/fchart.naver?code=126880", "제이엔케이글로벌 차트보기")</f>
        <v>제이엔케이글로벌 차트보기</v>
      </c>
    </row>
    <row r="786" spans="1:33" x14ac:dyDescent="0.3">
      <c r="A786" t="s">
        <v>3171</v>
      </c>
      <c r="B786" t="s">
        <v>34</v>
      </c>
      <c r="C786" t="s">
        <v>3172</v>
      </c>
      <c r="D786">
        <v>16247.62</v>
      </c>
      <c r="E786" t="s">
        <v>3173</v>
      </c>
      <c r="F786">
        <v>5.7</v>
      </c>
      <c r="G786">
        <v>0.63999998569488525</v>
      </c>
      <c r="H786">
        <v>5641</v>
      </c>
      <c r="I786">
        <v>2.4900000095367432</v>
      </c>
      <c r="J786" t="s">
        <v>3174</v>
      </c>
      <c r="K786">
        <v>37150</v>
      </c>
      <c r="L786">
        <v>32150</v>
      </c>
      <c r="M786">
        <v>-13.46</v>
      </c>
      <c r="N786">
        <v>2.23</v>
      </c>
      <c r="O786">
        <v>-0.16</v>
      </c>
      <c r="P786">
        <v>-3.82</v>
      </c>
      <c r="Q786">
        <v>-13.03</v>
      </c>
      <c r="R786">
        <v>-6.3</v>
      </c>
      <c r="S786">
        <v>11.41</v>
      </c>
      <c r="T786">
        <v>1.61</v>
      </c>
      <c r="U786">
        <v>2.08</v>
      </c>
      <c r="V786">
        <v>1.61</v>
      </c>
      <c r="W786">
        <v>2.68</v>
      </c>
      <c r="X786">
        <v>2.4900000000000002</v>
      </c>
      <c r="Y786">
        <v>3.31</v>
      </c>
      <c r="Z786">
        <v>1.39</v>
      </c>
      <c r="AA786">
        <v>0.08</v>
      </c>
      <c r="AB786">
        <v>2.37</v>
      </c>
      <c r="AC786">
        <v>4.8600000000000003</v>
      </c>
      <c r="AD786">
        <v>2.5299999999999998</v>
      </c>
      <c r="AE786">
        <v>3.45</v>
      </c>
      <c r="AF786">
        <v>2.4466666666666672</v>
      </c>
      <c r="AG786" t="str">
        <f>HYPERLINK("https://finance.naver.com/item/fchart.naver?code=049770", "동원F&amp;B 차트보기")</f>
        <v>동원F&amp;B 차트보기</v>
      </c>
    </row>
    <row r="787" spans="1:33" x14ac:dyDescent="0.3">
      <c r="A787" t="s">
        <v>3175</v>
      </c>
      <c r="B787" t="s">
        <v>55</v>
      </c>
      <c r="C787" t="s">
        <v>3176</v>
      </c>
      <c r="D787">
        <v>1774447.95</v>
      </c>
      <c r="E787" t="s">
        <v>3177</v>
      </c>
      <c r="F787">
        <v>0</v>
      </c>
      <c r="G787">
        <v>0.2800000011920929</v>
      </c>
      <c r="H787">
        <v>0</v>
      </c>
      <c r="I787">
        <v>0</v>
      </c>
      <c r="J787" t="s">
        <v>3178</v>
      </c>
      <c r="K787">
        <v>621</v>
      </c>
      <c r="L787">
        <v>338</v>
      </c>
      <c r="M787">
        <v>-45.57</v>
      </c>
      <c r="N787">
        <v>0.9</v>
      </c>
      <c r="O787">
        <v>-15.88</v>
      </c>
      <c r="P787">
        <v>-22.6</v>
      </c>
      <c r="Q787">
        <v>-16.14</v>
      </c>
      <c r="R787">
        <v>-6.61</v>
      </c>
      <c r="S787">
        <v>-7.58</v>
      </c>
      <c r="T787">
        <v>3.52</v>
      </c>
      <c r="U787">
        <v>8.3699999999999992</v>
      </c>
      <c r="V787">
        <v>2.92</v>
      </c>
      <c r="W787">
        <v>5.88</v>
      </c>
      <c r="X787">
        <v>11.9</v>
      </c>
      <c r="Y787">
        <v>5.12</v>
      </c>
      <c r="Z787">
        <v>0.26</v>
      </c>
      <c r="AA787">
        <v>1.9</v>
      </c>
      <c r="AB787">
        <v>7.74</v>
      </c>
      <c r="AC787">
        <v>2.74</v>
      </c>
      <c r="AD787">
        <v>0.56000000000000005</v>
      </c>
      <c r="AE787">
        <v>1.48</v>
      </c>
      <c r="AF787">
        <v>2.4466666666666672</v>
      </c>
      <c r="AG787" t="str">
        <f>HYPERLINK("https://finance.naver.com/item/fchart.naver?code=054180", "메디콕스 차트보기")</f>
        <v>메디콕스 차트보기</v>
      </c>
    </row>
    <row r="788" spans="1:33" x14ac:dyDescent="0.3">
      <c r="A788" t="s">
        <v>3179</v>
      </c>
      <c r="B788" t="s">
        <v>34</v>
      </c>
      <c r="C788" t="s">
        <v>3180</v>
      </c>
      <c r="D788">
        <v>12779.48</v>
      </c>
      <c r="E788" t="s">
        <v>3181</v>
      </c>
      <c r="F788">
        <v>3.83</v>
      </c>
      <c r="G788">
        <v>0.31000000238418579</v>
      </c>
      <c r="H788">
        <v>6041</v>
      </c>
      <c r="I788">
        <v>3.4600000381469731</v>
      </c>
      <c r="J788" t="s">
        <v>3182</v>
      </c>
      <c r="K788">
        <v>24300</v>
      </c>
      <c r="L788">
        <v>23150</v>
      </c>
      <c r="M788">
        <v>-4.7300000000000004</v>
      </c>
      <c r="N788">
        <v>1.98</v>
      </c>
      <c r="O788">
        <v>2.71</v>
      </c>
      <c r="P788">
        <v>2.52</v>
      </c>
      <c r="Q788">
        <v>-4.26</v>
      </c>
      <c r="R788">
        <v>12.23</v>
      </c>
      <c r="S788">
        <v>-2.93</v>
      </c>
      <c r="T788">
        <v>0.94</v>
      </c>
      <c r="U788">
        <v>1.25</v>
      </c>
      <c r="V788">
        <v>1.85</v>
      </c>
      <c r="W788">
        <v>2.15</v>
      </c>
      <c r="X788">
        <v>2.23</v>
      </c>
      <c r="Y788">
        <v>1.86</v>
      </c>
      <c r="Z788">
        <v>2.11</v>
      </c>
      <c r="AA788">
        <v>2.17</v>
      </c>
      <c r="AB788">
        <v>1.36</v>
      </c>
      <c r="AC788">
        <v>1.98</v>
      </c>
      <c r="AD788">
        <v>5.48</v>
      </c>
      <c r="AE788">
        <v>1.58</v>
      </c>
      <c r="AF788">
        <v>2.4466666666666672</v>
      </c>
      <c r="AG788" t="str">
        <f>HYPERLINK("https://finance.naver.com/item/fchart.naver?code=036530", "SNT홀딩스 차트보기")</f>
        <v>SNT홀딩스 차트보기</v>
      </c>
    </row>
    <row r="789" spans="1:33" x14ac:dyDescent="0.3">
      <c r="A789" t="s">
        <v>3183</v>
      </c>
      <c r="B789" t="s">
        <v>55</v>
      </c>
      <c r="C789" t="s">
        <v>3184</v>
      </c>
      <c r="D789">
        <v>821063.14</v>
      </c>
      <c r="E789" t="s">
        <v>3185</v>
      </c>
      <c r="F789">
        <v>11.79</v>
      </c>
      <c r="G789">
        <v>1.450000047683716</v>
      </c>
      <c r="H789">
        <v>388</v>
      </c>
      <c r="I789">
        <v>0</v>
      </c>
      <c r="J789" t="s">
        <v>3186</v>
      </c>
      <c r="K789">
        <v>5490</v>
      </c>
      <c r="L789">
        <v>4575</v>
      </c>
      <c r="M789">
        <v>-16.670000000000002</v>
      </c>
      <c r="N789">
        <v>-3.28</v>
      </c>
      <c r="O789">
        <v>-15.19</v>
      </c>
      <c r="P789">
        <v>-4.6399999999999997</v>
      </c>
      <c r="Q789">
        <v>-4.6399999999999997</v>
      </c>
      <c r="R789">
        <v>22.2</v>
      </c>
      <c r="S789">
        <v>-8.35</v>
      </c>
      <c r="T789">
        <v>3.9</v>
      </c>
      <c r="U789">
        <v>2.82</v>
      </c>
      <c r="V789">
        <v>4.12</v>
      </c>
      <c r="W789">
        <v>5.23</v>
      </c>
      <c r="X789">
        <v>5.38</v>
      </c>
      <c r="Y789">
        <v>3.62</v>
      </c>
      <c r="Z789">
        <v>0.84</v>
      </c>
      <c r="AA789">
        <v>5.39</v>
      </c>
      <c r="AB789">
        <v>1.1299999999999999</v>
      </c>
      <c r="AC789">
        <v>0.89</v>
      </c>
      <c r="AD789">
        <v>4.13</v>
      </c>
      <c r="AE789">
        <v>2.31</v>
      </c>
      <c r="AF789">
        <v>2.4483333333333328</v>
      </c>
      <c r="AG789" t="str">
        <f>HYPERLINK("https://finance.naver.com/item/fchart.naver?code=256840", "한국비엔씨 차트보기")</f>
        <v>한국비엔씨 차트보기</v>
      </c>
    </row>
    <row r="790" spans="1:33" x14ac:dyDescent="0.3">
      <c r="A790" t="s">
        <v>3187</v>
      </c>
      <c r="B790" t="s">
        <v>34</v>
      </c>
      <c r="C790" t="s">
        <v>3188</v>
      </c>
      <c r="D790">
        <v>83128.62</v>
      </c>
      <c r="E790" t="s">
        <v>3189</v>
      </c>
      <c r="F790">
        <v>5.57</v>
      </c>
      <c r="G790">
        <v>0.60000002384185791</v>
      </c>
      <c r="H790">
        <v>2457</v>
      </c>
      <c r="I790">
        <v>5.8499999046325684</v>
      </c>
      <c r="J790" t="s">
        <v>3190</v>
      </c>
      <c r="K790">
        <v>14150</v>
      </c>
      <c r="L790">
        <v>13680</v>
      </c>
      <c r="M790">
        <v>-3.32</v>
      </c>
      <c r="N790">
        <v>-2.08</v>
      </c>
      <c r="O790">
        <v>7.66</v>
      </c>
      <c r="P790">
        <v>-5.0999999999999996</v>
      </c>
      <c r="Q790">
        <v>0.82</v>
      </c>
      <c r="R790">
        <v>8.42</v>
      </c>
      <c r="S790">
        <v>-0.59</v>
      </c>
      <c r="T790">
        <v>1.57</v>
      </c>
      <c r="U790">
        <v>2.02</v>
      </c>
      <c r="V790">
        <v>1.5</v>
      </c>
      <c r="W790">
        <v>2.96</v>
      </c>
      <c r="X790">
        <v>1.49</v>
      </c>
      <c r="Y790">
        <v>2.37</v>
      </c>
      <c r="Z790">
        <v>1.32</v>
      </c>
      <c r="AA790">
        <v>3.79</v>
      </c>
      <c r="AB790">
        <v>3.4</v>
      </c>
      <c r="AC790">
        <v>0.28000000000000003</v>
      </c>
      <c r="AD790">
        <v>5.65</v>
      </c>
      <c r="AE790">
        <v>0.25</v>
      </c>
      <c r="AF790">
        <v>2.4483333333333328</v>
      </c>
      <c r="AG790" t="str">
        <f>HYPERLINK("https://finance.naver.com/item/fchart.naver?code=300720", "한일시멘트 차트보기")</f>
        <v>한일시멘트 차트보기</v>
      </c>
    </row>
    <row r="791" spans="1:33" x14ac:dyDescent="0.3">
      <c r="A791" t="s">
        <v>3191</v>
      </c>
      <c r="B791" t="s">
        <v>34</v>
      </c>
      <c r="C791" t="s">
        <v>3192</v>
      </c>
      <c r="D791">
        <v>30047.52</v>
      </c>
      <c r="E791" t="s">
        <v>3193</v>
      </c>
      <c r="F791">
        <v>2.9</v>
      </c>
      <c r="G791">
        <v>0.30000001192092901</v>
      </c>
      <c r="H791">
        <v>1458</v>
      </c>
      <c r="I791">
        <v>2.839999914169312</v>
      </c>
      <c r="J791" t="s">
        <v>3194</v>
      </c>
      <c r="K791">
        <v>5400</v>
      </c>
      <c r="L791">
        <v>4230</v>
      </c>
      <c r="M791">
        <v>-21.67</v>
      </c>
      <c r="N791">
        <v>3.17</v>
      </c>
      <c r="O791">
        <v>-4.0999999999999996</v>
      </c>
      <c r="P791">
        <v>-7.48</v>
      </c>
      <c r="Q791">
        <v>-8.67</v>
      </c>
      <c r="R791">
        <v>2.39</v>
      </c>
      <c r="S791">
        <v>-4.05</v>
      </c>
      <c r="T791">
        <v>2.33</v>
      </c>
      <c r="U791">
        <v>1.55</v>
      </c>
      <c r="V791">
        <v>2.0099999999999998</v>
      </c>
      <c r="W791">
        <v>3.08</v>
      </c>
      <c r="X791">
        <v>1.93</v>
      </c>
      <c r="Y791">
        <v>1.39</v>
      </c>
      <c r="Z791">
        <v>1.36</v>
      </c>
      <c r="AA791">
        <v>2.65</v>
      </c>
      <c r="AB791">
        <v>3.72</v>
      </c>
      <c r="AC791">
        <v>2.81</v>
      </c>
      <c r="AD791">
        <v>1.24</v>
      </c>
      <c r="AE791">
        <v>2.91</v>
      </c>
      <c r="AF791">
        <v>2.4483333333333341</v>
      </c>
      <c r="AG791" t="str">
        <f>HYPERLINK("https://finance.naver.com/item/fchart.naver?code=014280", "금강공업 차트보기")</f>
        <v>금강공업 차트보기</v>
      </c>
    </row>
    <row r="792" spans="1:33" x14ac:dyDescent="0.3">
      <c r="A792" t="s">
        <v>3195</v>
      </c>
      <c r="B792" t="s">
        <v>34</v>
      </c>
      <c r="C792" t="s">
        <v>3196</v>
      </c>
      <c r="D792">
        <v>103600.95</v>
      </c>
      <c r="E792" t="s">
        <v>3197</v>
      </c>
      <c r="F792">
        <v>2.37</v>
      </c>
      <c r="G792">
        <v>0.37000000476837158</v>
      </c>
      <c r="H792">
        <v>1390</v>
      </c>
      <c r="I792">
        <v>4.8600001335144043</v>
      </c>
      <c r="J792" t="s">
        <v>3198</v>
      </c>
      <c r="K792">
        <v>4665</v>
      </c>
      <c r="L792">
        <v>3295</v>
      </c>
      <c r="M792">
        <v>-29.37</v>
      </c>
      <c r="N792">
        <v>5.44</v>
      </c>
      <c r="O792">
        <v>0</v>
      </c>
      <c r="P792">
        <v>-0.16</v>
      </c>
      <c r="Q792">
        <v>-5.93</v>
      </c>
      <c r="R792">
        <v>-18.57</v>
      </c>
      <c r="S792">
        <v>-6.64</v>
      </c>
      <c r="T792">
        <v>1.87</v>
      </c>
      <c r="U792">
        <v>0.96</v>
      </c>
      <c r="V792">
        <v>1.97</v>
      </c>
      <c r="W792">
        <v>3.94</v>
      </c>
      <c r="X792">
        <v>5.54</v>
      </c>
      <c r="Y792">
        <v>0.97</v>
      </c>
      <c r="Z792">
        <v>2.91</v>
      </c>
      <c r="AA792">
        <v>0</v>
      </c>
      <c r="AB792">
        <v>0.08</v>
      </c>
      <c r="AC792">
        <v>1.51</v>
      </c>
      <c r="AD792">
        <v>3.35</v>
      </c>
      <c r="AE792">
        <v>6.85</v>
      </c>
      <c r="AF792">
        <v>2.4500000000000002</v>
      </c>
      <c r="AG792" t="str">
        <f>HYPERLINK("https://finance.naver.com/item/fchart.naver?code=002900", "TYM 차트보기")</f>
        <v>TYM 차트보기</v>
      </c>
    </row>
    <row r="793" spans="1:33" x14ac:dyDescent="0.3">
      <c r="A793" t="s">
        <v>3199</v>
      </c>
      <c r="B793" t="s">
        <v>55</v>
      </c>
      <c r="C793" t="s">
        <v>3200</v>
      </c>
      <c r="D793">
        <v>142232.57</v>
      </c>
      <c r="E793" t="s">
        <v>3201</v>
      </c>
      <c r="F793">
        <v>40.869999999999997</v>
      </c>
      <c r="G793">
        <v>2.0399999618530269</v>
      </c>
      <c r="H793">
        <v>98</v>
      </c>
      <c r="I793">
        <v>0.25</v>
      </c>
      <c r="J793" t="s">
        <v>3202</v>
      </c>
      <c r="K793">
        <v>5630</v>
      </c>
      <c r="L793">
        <v>4005</v>
      </c>
      <c r="M793">
        <v>-28.86</v>
      </c>
      <c r="N793">
        <v>-1.72</v>
      </c>
      <c r="O793">
        <v>-3.72</v>
      </c>
      <c r="P793">
        <v>1.87</v>
      </c>
      <c r="Q793">
        <v>-15.55</v>
      </c>
      <c r="R793">
        <v>0</v>
      </c>
      <c r="S793">
        <v>-7.68</v>
      </c>
      <c r="T793">
        <v>2.0499999999999998</v>
      </c>
      <c r="U793">
        <v>1.21</v>
      </c>
      <c r="V793">
        <v>2.17</v>
      </c>
      <c r="W793">
        <v>4.87</v>
      </c>
      <c r="X793">
        <v>1.94</v>
      </c>
      <c r="Y793">
        <v>1.1399999999999999</v>
      </c>
      <c r="Z793">
        <v>0.84</v>
      </c>
      <c r="AA793">
        <v>3.07</v>
      </c>
      <c r="AB793">
        <v>0.86</v>
      </c>
      <c r="AC793">
        <v>3.19</v>
      </c>
      <c r="AD793">
        <v>0</v>
      </c>
      <c r="AE793">
        <v>6.74</v>
      </c>
      <c r="AF793">
        <v>2.4500000000000002</v>
      </c>
      <c r="AG793" t="str">
        <f>HYPERLINK("https://finance.naver.com/item/fchart.naver?code=307750", "국전약품 차트보기")</f>
        <v>국전약품 차트보기</v>
      </c>
    </row>
    <row r="794" spans="1:33" x14ac:dyDescent="0.3">
      <c r="A794" t="s">
        <v>3203</v>
      </c>
      <c r="B794" t="s">
        <v>55</v>
      </c>
      <c r="C794" t="s">
        <v>3204</v>
      </c>
      <c r="D794">
        <v>23722.14</v>
      </c>
      <c r="E794" t="s">
        <v>3205</v>
      </c>
      <c r="F794">
        <v>0</v>
      </c>
      <c r="G794">
        <v>6.820000171661377</v>
      </c>
      <c r="H794">
        <v>0</v>
      </c>
      <c r="I794">
        <v>0</v>
      </c>
      <c r="J794" t="s">
        <v>3206</v>
      </c>
      <c r="K794">
        <v>500</v>
      </c>
      <c r="L794">
        <v>5050</v>
      </c>
      <c r="M794">
        <v>910</v>
      </c>
      <c r="N794">
        <v>1.61</v>
      </c>
      <c r="O794">
        <v>861.22</v>
      </c>
      <c r="P794">
        <v>-23.03</v>
      </c>
      <c r="Q794">
        <v>45.59</v>
      </c>
      <c r="R794">
        <v>-7.4</v>
      </c>
      <c r="S794">
        <v>3.02</v>
      </c>
      <c r="T794">
        <v>2.99</v>
      </c>
      <c r="U794">
        <v>209.85</v>
      </c>
      <c r="V794">
        <v>7.08</v>
      </c>
      <c r="W794">
        <v>10.01</v>
      </c>
      <c r="X794">
        <v>4.1399999999999997</v>
      </c>
      <c r="Y794">
        <v>6.39</v>
      </c>
      <c r="Z794">
        <v>0.54</v>
      </c>
      <c r="AA794">
        <v>4.0999999999999996</v>
      </c>
      <c r="AB794">
        <v>3.25</v>
      </c>
      <c r="AC794">
        <v>4.55</v>
      </c>
      <c r="AD794">
        <v>1.79</v>
      </c>
      <c r="AE794">
        <v>0.47</v>
      </c>
      <c r="AF794">
        <v>2.4500000000000002</v>
      </c>
      <c r="AG794" t="str">
        <f>HYPERLINK("https://finance.naver.com/item/fchart.naver?code=244460", "올리패스 차트보기")</f>
        <v>올리패스 차트보기</v>
      </c>
    </row>
    <row r="795" spans="1:33" x14ac:dyDescent="0.3">
      <c r="A795" t="s">
        <v>3207</v>
      </c>
      <c r="B795" t="s">
        <v>55</v>
      </c>
      <c r="C795" t="s">
        <v>3208</v>
      </c>
      <c r="D795">
        <v>46219.9</v>
      </c>
      <c r="E795" t="s">
        <v>3209</v>
      </c>
      <c r="F795">
        <v>10.62</v>
      </c>
      <c r="G795">
        <v>0.8399999737739563</v>
      </c>
      <c r="H795">
        <v>471</v>
      </c>
      <c r="I795">
        <v>2.5</v>
      </c>
      <c r="J795" t="s">
        <v>3210</v>
      </c>
      <c r="K795">
        <v>5860</v>
      </c>
      <c r="L795">
        <v>5000</v>
      </c>
      <c r="M795">
        <v>-14.68</v>
      </c>
      <c r="N795">
        <v>-1.96</v>
      </c>
      <c r="O795">
        <v>6.4</v>
      </c>
      <c r="P795">
        <v>-0.94</v>
      </c>
      <c r="Q795">
        <v>-5.27</v>
      </c>
      <c r="R795">
        <v>-0.99</v>
      </c>
      <c r="S795">
        <v>-2.2599999999999998</v>
      </c>
      <c r="T795">
        <v>0.54</v>
      </c>
      <c r="U795">
        <v>1.0900000000000001</v>
      </c>
      <c r="V795">
        <v>1.31</v>
      </c>
      <c r="W795">
        <v>2.67</v>
      </c>
      <c r="X795">
        <v>1.3</v>
      </c>
      <c r="Y795">
        <v>1.29</v>
      </c>
      <c r="Z795">
        <v>3.63</v>
      </c>
      <c r="AA795">
        <v>5.87</v>
      </c>
      <c r="AB795">
        <v>0.72</v>
      </c>
      <c r="AC795">
        <v>1.97</v>
      </c>
      <c r="AD795">
        <v>0.76</v>
      </c>
      <c r="AE795">
        <v>1.75</v>
      </c>
      <c r="AF795">
        <v>2.4500000000000002</v>
      </c>
      <c r="AG795" t="str">
        <f>HYPERLINK("https://finance.naver.com/item/fchart.naver?code=063570", "한국전자금융 차트보기")</f>
        <v>한국전자금융 차트보기</v>
      </c>
    </row>
    <row r="796" spans="1:33" x14ac:dyDescent="0.3">
      <c r="A796" t="s">
        <v>3211</v>
      </c>
      <c r="B796" t="s">
        <v>34</v>
      </c>
      <c r="C796" t="s">
        <v>3212</v>
      </c>
      <c r="D796">
        <v>46008.1</v>
      </c>
      <c r="E796" t="s">
        <v>3213</v>
      </c>
      <c r="F796">
        <v>6.35</v>
      </c>
      <c r="G796">
        <v>0.239999994635582</v>
      </c>
      <c r="H796">
        <v>370</v>
      </c>
      <c r="I796">
        <v>0</v>
      </c>
      <c r="J796" t="s">
        <v>3214</v>
      </c>
      <c r="K796">
        <v>2000</v>
      </c>
      <c r="L796">
        <v>2350</v>
      </c>
      <c r="M796">
        <v>17.5</v>
      </c>
      <c r="N796">
        <v>-0.84</v>
      </c>
      <c r="O796">
        <v>-1.87</v>
      </c>
      <c r="P796">
        <v>-7.55</v>
      </c>
      <c r="Q796">
        <v>2.7</v>
      </c>
      <c r="R796">
        <v>15.57</v>
      </c>
      <c r="S796">
        <v>13.33</v>
      </c>
      <c r="T796">
        <v>0.78</v>
      </c>
      <c r="U796">
        <v>1.74</v>
      </c>
      <c r="V796">
        <v>2.1</v>
      </c>
      <c r="W796">
        <v>4.29</v>
      </c>
      <c r="X796">
        <v>3.3</v>
      </c>
      <c r="Y796">
        <v>3.69</v>
      </c>
      <c r="Z796">
        <v>1.08</v>
      </c>
      <c r="AA796">
        <v>1.07</v>
      </c>
      <c r="AB796">
        <v>3.6</v>
      </c>
      <c r="AC796">
        <v>0.63</v>
      </c>
      <c r="AD796">
        <v>4.72</v>
      </c>
      <c r="AE796">
        <v>3.61</v>
      </c>
      <c r="AF796">
        <v>2.4516666666666671</v>
      </c>
      <c r="AG796" t="str">
        <f>HYPERLINK("https://finance.naver.com/item/fchart.naver?code=014790", "HL D&amp;I 차트보기")</f>
        <v>HL D&amp;I 차트보기</v>
      </c>
    </row>
    <row r="797" spans="1:33" x14ac:dyDescent="0.3">
      <c r="A797" t="s">
        <v>3215</v>
      </c>
      <c r="B797" t="s">
        <v>34</v>
      </c>
      <c r="C797" t="s">
        <v>3216</v>
      </c>
      <c r="D797">
        <v>695607.86</v>
      </c>
      <c r="E797" t="s">
        <v>3217</v>
      </c>
      <c r="F797">
        <v>16.100000000000001</v>
      </c>
      <c r="G797">
        <v>0.4699999988079071</v>
      </c>
      <c r="H797">
        <v>531</v>
      </c>
      <c r="I797">
        <v>1.75</v>
      </c>
      <c r="J797" t="s">
        <v>3218</v>
      </c>
      <c r="K797">
        <v>8010</v>
      </c>
      <c r="L797">
        <v>8550</v>
      </c>
      <c r="M797">
        <v>6.74</v>
      </c>
      <c r="N797">
        <v>-2.5099999999999998</v>
      </c>
      <c r="O797">
        <v>6.84</v>
      </c>
      <c r="P797">
        <v>-0.36</v>
      </c>
      <c r="Q797">
        <v>8.85</v>
      </c>
      <c r="R797">
        <v>7.49</v>
      </c>
      <c r="S797">
        <v>0.41</v>
      </c>
      <c r="T797">
        <v>2.19</v>
      </c>
      <c r="U797">
        <v>1.04</v>
      </c>
      <c r="V797">
        <v>2.13</v>
      </c>
      <c r="W797">
        <v>3.14</v>
      </c>
      <c r="X797">
        <v>2</v>
      </c>
      <c r="Y797">
        <v>1.67</v>
      </c>
      <c r="Z797">
        <v>1.1499999999999999</v>
      </c>
      <c r="AA797">
        <v>6.58</v>
      </c>
      <c r="AB797">
        <v>0.17</v>
      </c>
      <c r="AC797">
        <v>2.82</v>
      </c>
      <c r="AD797">
        <v>3.75</v>
      </c>
      <c r="AE797">
        <v>0.25</v>
      </c>
      <c r="AF797">
        <v>2.453333333333334</v>
      </c>
      <c r="AG797" t="str">
        <f>HYPERLINK("https://finance.naver.com/item/fchart.naver?code=006800", "미래에셋증권 차트보기")</f>
        <v>미래에셋증권 차트보기</v>
      </c>
    </row>
    <row r="798" spans="1:33" x14ac:dyDescent="0.3">
      <c r="A798" t="s">
        <v>3219</v>
      </c>
      <c r="B798" t="s">
        <v>34</v>
      </c>
      <c r="C798" t="s">
        <v>3220</v>
      </c>
      <c r="D798">
        <v>7639.14</v>
      </c>
      <c r="E798" t="s">
        <v>3221</v>
      </c>
      <c r="F798">
        <v>0</v>
      </c>
      <c r="G798">
        <v>0</v>
      </c>
      <c r="H798">
        <v>0</v>
      </c>
      <c r="I798">
        <v>5.0900001525878906</v>
      </c>
      <c r="J798" t="s">
        <v>3222</v>
      </c>
      <c r="K798">
        <v>69600</v>
      </c>
      <c r="L798">
        <v>57900</v>
      </c>
      <c r="M798">
        <v>-16.809999999999999</v>
      </c>
      <c r="N798">
        <v>-9.25</v>
      </c>
      <c r="O798">
        <v>-5.09</v>
      </c>
      <c r="P798">
        <v>5.47</v>
      </c>
      <c r="Q798">
        <v>-1.95</v>
      </c>
      <c r="R798">
        <v>0</v>
      </c>
      <c r="S798">
        <v>-3.76</v>
      </c>
      <c r="T798">
        <v>2.33</v>
      </c>
      <c r="U798">
        <v>1.17</v>
      </c>
      <c r="V798">
        <v>2.2400000000000002</v>
      </c>
      <c r="W798">
        <v>1.92</v>
      </c>
      <c r="X798">
        <v>1.61</v>
      </c>
      <c r="Y798">
        <v>1.27</v>
      </c>
      <c r="Z798">
        <v>3.97</v>
      </c>
      <c r="AA798">
        <v>4.3499999999999996</v>
      </c>
      <c r="AB798">
        <v>2.44</v>
      </c>
      <c r="AC798">
        <v>1.02</v>
      </c>
      <c r="AD798">
        <v>0</v>
      </c>
      <c r="AE798">
        <v>2.96</v>
      </c>
      <c r="AF798">
        <v>2.456666666666667</v>
      </c>
      <c r="AG798" t="str">
        <f>HYPERLINK("https://finance.naver.com/item/fchart.naver?code=011785", "금호석유우 차트보기")</f>
        <v>금호석유우 차트보기</v>
      </c>
    </row>
    <row r="799" spans="1:33" x14ac:dyDescent="0.3">
      <c r="A799" t="s">
        <v>3223</v>
      </c>
      <c r="B799" t="s">
        <v>34</v>
      </c>
      <c r="C799" t="s">
        <v>3224</v>
      </c>
      <c r="D799">
        <v>34462.050000000003</v>
      </c>
      <c r="E799" t="s">
        <v>3225</v>
      </c>
      <c r="F799">
        <v>4.97</v>
      </c>
      <c r="G799">
        <v>0.20000000298023221</v>
      </c>
      <c r="H799">
        <v>353</v>
      </c>
      <c r="I799">
        <v>2.8499999046325679</v>
      </c>
      <c r="J799" t="s">
        <v>3226</v>
      </c>
      <c r="K799">
        <v>2380</v>
      </c>
      <c r="L799">
        <v>1755</v>
      </c>
      <c r="M799">
        <v>-26.26</v>
      </c>
      <c r="N799">
        <v>-0.56999999999999995</v>
      </c>
      <c r="O799">
        <v>-3.41</v>
      </c>
      <c r="P799">
        <v>0</v>
      </c>
      <c r="Q799">
        <v>-3.23</v>
      </c>
      <c r="R799">
        <v>-2.7</v>
      </c>
      <c r="S799">
        <v>-11.09</v>
      </c>
      <c r="T799">
        <v>1.56</v>
      </c>
      <c r="U799">
        <v>1.1299999999999999</v>
      </c>
      <c r="V799">
        <v>2.31</v>
      </c>
      <c r="W799">
        <v>2.0299999999999998</v>
      </c>
      <c r="X799">
        <v>1</v>
      </c>
      <c r="Y799">
        <v>1.57</v>
      </c>
      <c r="Z799">
        <v>0.37</v>
      </c>
      <c r="AA799">
        <v>3.02</v>
      </c>
      <c r="AB799">
        <v>0</v>
      </c>
      <c r="AC799">
        <v>1.59</v>
      </c>
      <c r="AD799">
        <v>2.7</v>
      </c>
      <c r="AE799">
        <v>7.06</v>
      </c>
      <c r="AF799">
        <v>2.456666666666667</v>
      </c>
      <c r="AG799" t="str">
        <f>HYPERLINK("https://finance.naver.com/item/fchart.naver?code=088790", "진도 차트보기")</f>
        <v>진도 차트보기</v>
      </c>
    </row>
    <row r="800" spans="1:33" x14ac:dyDescent="0.3">
      <c r="A800" t="s">
        <v>3227</v>
      </c>
      <c r="B800" t="s">
        <v>34</v>
      </c>
      <c r="C800" t="s">
        <v>3228</v>
      </c>
      <c r="D800">
        <v>419.71</v>
      </c>
      <c r="E800" t="s">
        <v>3229</v>
      </c>
      <c r="F800">
        <v>4.8</v>
      </c>
      <c r="G800">
        <v>0.30000001192092901</v>
      </c>
      <c r="H800">
        <v>5589</v>
      </c>
      <c r="I800">
        <v>3.720000028610229</v>
      </c>
      <c r="J800" t="s">
        <v>3230</v>
      </c>
      <c r="K800">
        <v>25400</v>
      </c>
      <c r="L800">
        <v>26850</v>
      </c>
      <c r="M800">
        <v>5.71</v>
      </c>
      <c r="N800">
        <v>0.19</v>
      </c>
      <c r="O800">
        <v>1.7</v>
      </c>
      <c r="P800">
        <v>1.92</v>
      </c>
      <c r="Q800">
        <v>-0.38</v>
      </c>
      <c r="R800">
        <v>-0.56000000000000005</v>
      </c>
      <c r="S800">
        <v>3.09</v>
      </c>
      <c r="T800">
        <v>0.19</v>
      </c>
      <c r="U800">
        <v>0.42</v>
      </c>
      <c r="V800">
        <v>0.67</v>
      </c>
      <c r="W800">
        <v>0.92</v>
      </c>
      <c r="X800">
        <v>0.44</v>
      </c>
      <c r="Y800">
        <v>0.6</v>
      </c>
      <c r="Z800">
        <v>1</v>
      </c>
      <c r="AA800">
        <v>4.05</v>
      </c>
      <c r="AB800">
        <v>2.87</v>
      </c>
      <c r="AC800">
        <v>0.41</v>
      </c>
      <c r="AD800">
        <v>1.27</v>
      </c>
      <c r="AE800">
        <v>5.15</v>
      </c>
      <c r="AF800">
        <v>2.458333333333333</v>
      </c>
      <c r="AG800" t="str">
        <f>HYPERLINK("https://finance.naver.com/item/fchart.naver?code=009770", "삼정펄프 차트보기")</f>
        <v>삼정펄프 차트보기</v>
      </c>
    </row>
    <row r="801" spans="1:33" x14ac:dyDescent="0.3">
      <c r="A801" t="s">
        <v>3231</v>
      </c>
      <c r="B801" t="s">
        <v>55</v>
      </c>
      <c r="C801" t="s">
        <v>3232</v>
      </c>
      <c r="D801">
        <v>13834.29</v>
      </c>
      <c r="E801" t="s">
        <v>3233</v>
      </c>
      <c r="F801">
        <v>7.59</v>
      </c>
      <c r="G801">
        <v>0.57999998331069946</v>
      </c>
      <c r="H801">
        <v>482</v>
      </c>
      <c r="I801">
        <v>0</v>
      </c>
      <c r="J801" t="s">
        <v>3234</v>
      </c>
      <c r="K801">
        <v>4735</v>
      </c>
      <c r="L801">
        <v>3660</v>
      </c>
      <c r="M801">
        <v>-22.7</v>
      </c>
      <c r="N801">
        <v>6.86</v>
      </c>
      <c r="O801">
        <v>-7.84</v>
      </c>
      <c r="P801">
        <v>-5.17</v>
      </c>
      <c r="Q801">
        <v>-13.9</v>
      </c>
      <c r="R801">
        <v>1.61</v>
      </c>
      <c r="S801">
        <v>-0.66</v>
      </c>
      <c r="T801">
        <v>2.44</v>
      </c>
      <c r="U801">
        <v>1.56</v>
      </c>
      <c r="V801">
        <v>2.0299999999999998</v>
      </c>
      <c r="W801">
        <v>3.9</v>
      </c>
      <c r="X801">
        <v>3.17</v>
      </c>
      <c r="Y801">
        <v>2.2799999999999998</v>
      </c>
      <c r="Z801">
        <v>2.81</v>
      </c>
      <c r="AA801">
        <v>5.03</v>
      </c>
      <c r="AB801">
        <v>2.5499999999999998</v>
      </c>
      <c r="AC801">
        <v>3.56</v>
      </c>
      <c r="AD801">
        <v>0.51</v>
      </c>
      <c r="AE801">
        <v>0.28999999999999998</v>
      </c>
      <c r="AF801">
        <v>2.458333333333333</v>
      </c>
      <c r="AG801" t="str">
        <f>HYPERLINK("https://finance.naver.com/item/fchart.naver?code=103230", "에스앤더블류 차트보기")</f>
        <v>에스앤더블류 차트보기</v>
      </c>
    </row>
    <row r="802" spans="1:33" x14ac:dyDescent="0.3">
      <c r="A802" t="s">
        <v>3235</v>
      </c>
      <c r="B802" t="s">
        <v>55</v>
      </c>
      <c r="C802" t="s">
        <v>3236</v>
      </c>
      <c r="D802">
        <v>431475.52</v>
      </c>
      <c r="E802" t="s">
        <v>3237</v>
      </c>
      <c r="F802">
        <v>6.56</v>
      </c>
      <c r="G802">
        <v>1.190000057220459</v>
      </c>
      <c r="H802">
        <v>626</v>
      </c>
      <c r="I802">
        <v>0.97000002861022949</v>
      </c>
      <c r="J802" t="s">
        <v>3238</v>
      </c>
      <c r="K802">
        <v>4075</v>
      </c>
      <c r="L802">
        <v>4105</v>
      </c>
      <c r="M802">
        <v>0.74</v>
      </c>
      <c r="N802">
        <v>-1.08</v>
      </c>
      <c r="O802">
        <v>-8.8000000000000007</v>
      </c>
      <c r="P802">
        <v>29.73</v>
      </c>
      <c r="Q802">
        <v>-3.48</v>
      </c>
      <c r="R802">
        <v>-2.77</v>
      </c>
      <c r="S802">
        <v>-4.05</v>
      </c>
      <c r="T802">
        <v>2.5</v>
      </c>
      <c r="U802">
        <v>2.92</v>
      </c>
      <c r="V802">
        <v>7</v>
      </c>
      <c r="W802">
        <v>3.7</v>
      </c>
      <c r="X802">
        <v>1.06</v>
      </c>
      <c r="Y802">
        <v>1.1499999999999999</v>
      </c>
      <c r="Z802">
        <v>0.43</v>
      </c>
      <c r="AA802">
        <v>3.01</v>
      </c>
      <c r="AB802">
        <v>4.25</v>
      </c>
      <c r="AC802">
        <v>0.94</v>
      </c>
      <c r="AD802">
        <v>2.61</v>
      </c>
      <c r="AE802">
        <v>3.52</v>
      </c>
      <c r="AF802">
        <v>2.46</v>
      </c>
      <c r="AG802" t="str">
        <f>HYPERLINK("https://finance.naver.com/item/fchart.naver?code=234300", "에스트래픽 차트보기")</f>
        <v>에스트래픽 차트보기</v>
      </c>
    </row>
    <row r="803" spans="1:33" x14ac:dyDescent="0.3">
      <c r="A803" t="s">
        <v>3239</v>
      </c>
      <c r="B803" t="s">
        <v>34</v>
      </c>
      <c r="C803" t="s">
        <v>3240</v>
      </c>
      <c r="D803">
        <v>15655.95</v>
      </c>
      <c r="E803" t="s">
        <v>3241</v>
      </c>
      <c r="F803">
        <v>12.16</v>
      </c>
      <c r="G803">
        <v>0.85000002384185791</v>
      </c>
      <c r="H803">
        <v>1460</v>
      </c>
      <c r="I803">
        <v>4.5100002288818359</v>
      </c>
      <c r="J803" t="s">
        <v>3242</v>
      </c>
      <c r="K803">
        <v>19800</v>
      </c>
      <c r="L803">
        <v>17750</v>
      </c>
      <c r="M803">
        <v>-10.35</v>
      </c>
      <c r="N803">
        <v>-2.1</v>
      </c>
      <c r="O803">
        <v>-0.65</v>
      </c>
      <c r="P803">
        <v>0.27</v>
      </c>
      <c r="Q803">
        <v>-3.41</v>
      </c>
      <c r="R803">
        <v>-3.75</v>
      </c>
      <c r="S803">
        <v>1.22</v>
      </c>
      <c r="T803">
        <v>0.79</v>
      </c>
      <c r="U803">
        <v>0.84</v>
      </c>
      <c r="V803">
        <v>1</v>
      </c>
      <c r="W803">
        <v>2.2999999999999998</v>
      </c>
      <c r="X803">
        <v>0.44</v>
      </c>
      <c r="Y803">
        <v>1.1499999999999999</v>
      </c>
      <c r="Z803">
        <v>2.66</v>
      </c>
      <c r="AA803">
        <v>0.77</v>
      </c>
      <c r="AB803">
        <v>0.27</v>
      </c>
      <c r="AC803">
        <v>1.48</v>
      </c>
      <c r="AD803">
        <v>8.52</v>
      </c>
      <c r="AE803">
        <v>1.06</v>
      </c>
      <c r="AF803">
        <v>2.46</v>
      </c>
      <c r="AG803" t="str">
        <f>HYPERLINK("https://finance.naver.com/item/fchart.naver?code=005500", "삼진제약 차트보기")</f>
        <v>삼진제약 차트보기</v>
      </c>
    </row>
    <row r="804" spans="1:33" x14ac:dyDescent="0.3">
      <c r="A804" t="s">
        <v>3243</v>
      </c>
      <c r="B804" t="s">
        <v>34</v>
      </c>
      <c r="C804" t="s">
        <v>3244</v>
      </c>
      <c r="D804">
        <v>1015642.48</v>
      </c>
      <c r="E804" t="s">
        <v>3245</v>
      </c>
      <c r="J804" t="s">
        <v>3246</v>
      </c>
      <c r="K804">
        <v>350</v>
      </c>
      <c r="L804">
        <v>360</v>
      </c>
      <c r="M804">
        <v>2.86</v>
      </c>
      <c r="N804">
        <v>-2.17</v>
      </c>
      <c r="O804">
        <v>-10.7</v>
      </c>
      <c r="P804">
        <v>-3.19</v>
      </c>
      <c r="Q804">
        <v>-6.82</v>
      </c>
      <c r="R804">
        <v>7.48</v>
      </c>
      <c r="S804">
        <v>-1.35</v>
      </c>
      <c r="T804">
        <v>1.73</v>
      </c>
      <c r="U804">
        <v>1.7</v>
      </c>
      <c r="V804">
        <v>1.39</v>
      </c>
      <c r="W804">
        <v>2.44</v>
      </c>
      <c r="X804">
        <v>3.66</v>
      </c>
      <c r="Y804">
        <v>13.8</v>
      </c>
      <c r="Z804">
        <v>1.25</v>
      </c>
      <c r="AA804">
        <v>6.29</v>
      </c>
      <c r="AB804">
        <v>2.29</v>
      </c>
      <c r="AC804">
        <v>2.8</v>
      </c>
      <c r="AD804">
        <v>2.04</v>
      </c>
      <c r="AE804">
        <v>0.1</v>
      </c>
      <c r="AF804">
        <v>2.461666666666666</v>
      </c>
      <c r="AG804" t="str">
        <f>HYPERLINK("https://finance.naver.com/item/fchart.naver?code=152550", "한국ANKOR유전 차트보기")</f>
        <v>한국ANKOR유전 차트보기</v>
      </c>
    </row>
    <row r="805" spans="1:33" x14ac:dyDescent="0.3">
      <c r="A805" t="s">
        <v>3247</v>
      </c>
      <c r="B805" t="s">
        <v>55</v>
      </c>
      <c r="C805" t="s">
        <v>3248</v>
      </c>
      <c r="D805">
        <v>12862.81</v>
      </c>
      <c r="E805" t="s">
        <v>3249</v>
      </c>
      <c r="F805">
        <v>0</v>
      </c>
      <c r="G805">
        <v>0</v>
      </c>
      <c r="H805">
        <v>0</v>
      </c>
      <c r="I805">
        <v>0</v>
      </c>
      <c r="J805" t="s">
        <v>3250</v>
      </c>
      <c r="K805">
        <v>2060</v>
      </c>
      <c r="L805">
        <v>2050</v>
      </c>
      <c r="M805">
        <v>-0.49</v>
      </c>
      <c r="N805">
        <v>-1.2</v>
      </c>
      <c r="O805">
        <v>-0.96</v>
      </c>
      <c r="P805">
        <v>0.24</v>
      </c>
      <c r="Q805">
        <v>-2.34</v>
      </c>
      <c r="R805">
        <v>4.3600000000000003</v>
      </c>
      <c r="S805">
        <v>0.49</v>
      </c>
      <c r="T805">
        <v>0.73</v>
      </c>
      <c r="U805">
        <v>0.45</v>
      </c>
      <c r="V805">
        <v>0.59</v>
      </c>
      <c r="W805">
        <v>0.84</v>
      </c>
      <c r="X805">
        <v>0.62</v>
      </c>
      <c r="Y805">
        <v>0.63</v>
      </c>
      <c r="Z805">
        <v>1.64</v>
      </c>
      <c r="AA805">
        <v>2.13</v>
      </c>
      <c r="AB805">
        <v>0.41</v>
      </c>
      <c r="AC805">
        <v>2.79</v>
      </c>
      <c r="AD805">
        <v>7.03</v>
      </c>
      <c r="AE805">
        <v>0.78</v>
      </c>
      <c r="AF805">
        <v>2.4633333333333329</v>
      </c>
      <c r="AG805" t="str">
        <f>HYPERLINK("https://finance.naver.com/item/fchart.naver?code=477470", "미래에셋비전스팩5호 차트보기")</f>
        <v>미래에셋비전스팩5호 차트보기</v>
      </c>
    </row>
    <row r="806" spans="1:33" x14ac:dyDescent="0.3">
      <c r="A806" t="s">
        <v>3251</v>
      </c>
      <c r="B806" t="s">
        <v>34</v>
      </c>
      <c r="C806" t="s">
        <v>3252</v>
      </c>
      <c r="D806">
        <v>109348.57</v>
      </c>
      <c r="E806" t="s">
        <v>3253</v>
      </c>
      <c r="F806">
        <v>9.41</v>
      </c>
      <c r="G806">
        <v>1.679999947547913</v>
      </c>
      <c r="H806">
        <v>6495</v>
      </c>
      <c r="I806">
        <v>2.2100000381469731</v>
      </c>
      <c r="J806" t="s">
        <v>3254</v>
      </c>
      <c r="K806">
        <v>61200</v>
      </c>
      <c r="L806">
        <v>61100</v>
      </c>
      <c r="M806">
        <v>-0.16</v>
      </c>
      <c r="N806">
        <v>-2.5499999999999998</v>
      </c>
      <c r="O806">
        <v>-7.08</v>
      </c>
      <c r="P806">
        <v>0</v>
      </c>
      <c r="Q806">
        <v>7.18</v>
      </c>
      <c r="R806">
        <v>-4.45</v>
      </c>
      <c r="S806">
        <v>13.63</v>
      </c>
      <c r="T806">
        <v>1.55</v>
      </c>
      <c r="U806">
        <v>1.69</v>
      </c>
      <c r="V806">
        <v>2.94</v>
      </c>
      <c r="W806">
        <v>3.14</v>
      </c>
      <c r="X806">
        <v>2.33</v>
      </c>
      <c r="Y806">
        <v>2.87</v>
      </c>
      <c r="Z806">
        <v>1.65</v>
      </c>
      <c r="AA806">
        <v>4.1900000000000004</v>
      </c>
      <c r="AB806">
        <v>0</v>
      </c>
      <c r="AC806">
        <v>2.29</v>
      </c>
      <c r="AD806">
        <v>1.91</v>
      </c>
      <c r="AE806">
        <v>4.75</v>
      </c>
      <c r="AF806">
        <v>2.4649999999999999</v>
      </c>
      <c r="AG806" t="str">
        <f>HYPERLINK("https://finance.naver.com/item/fchart.naver?code=021240", "코웨이 차트보기")</f>
        <v>코웨이 차트보기</v>
      </c>
    </row>
    <row r="807" spans="1:33" x14ac:dyDescent="0.3">
      <c r="A807" t="s">
        <v>3255</v>
      </c>
      <c r="B807" t="s">
        <v>34</v>
      </c>
      <c r="C807" t="s">
        <v>3256</v>
      </c>
      <c r="D807">
        <v>1504.62</v>
      </c>
      <c r="E807" t="s">
        <v>3257</v>
      </c>
      <c r="F807">
        <v>0</v>
      </c>
      <c r="G807">
        <v>0</v>
      </c>
      <c r="H807">
        <v>0</v>
      </c>
      <c r="I807">
        <v>3.5099999904632568</v>
      </c>
      <c r="J807" t="s">
        <v>3258</v>
      </c>
      <c r="K807">
        <v>12880</v>
      </c>
      <c r="L807">
        <v>11390</v>
      </c>
      <c r="M807">
        <v>-11.57</v>
      </c>
      <c r="N807">
        <v>3.55</v>
      </c>
      <c r="O807">
        <v>-2.9</v>
      </c>
      <c r="P807">
        <v>-2.89</v>
      </c>
      <c r="Q807">
        <v>-5.24</v>
      </c>
      <c r="R807">
        <v>1.71</v>
      </c>
      <c r="S807">
        <v>-1.1299999999999999</v>
      </c>
      <c r="T807">
        <v>0.89</v>
      </c>
      <c r="U807">
        <v>0.91</v>
      </c>
      <c r="V807">
        <v>0.92</v>
      </c>
      <c r="W807">
        <v>2.2599999999999998</v>
      </c>
      <c r="X807">
        <v>1.21</v>
      </c>
      <c r="Y807">
        <v>1.52</v>
      </c>
      <c r="Z807">
        <v>3.99</v>
      </c>
      <c r="AA807">
        <v>3.19</v>
      </c>
      <c r="AB807">
        <v>3.14</v>
      </c>
      <c r="AC807">
        <v>2.3199999999999998</v>
      </c>
      <c r="AD807">
        <v>1.41</v>
      </c>
      <c r="AE807">
        <v>0.74</v>
      </c>
      <c r="AF807">
        <v>2.4649999999999999</v>
      </c>
      <c r="AG807" t="str">
        <f>HYPERLINK("https://finance.naver.com/item/fchart.naver?code=004985", "성신양회우 차트보기")</f>
        <v>성신양회우 차트보기</v>
      </c>
    </row>
    <row r="808" spans="1:33" x14ac:dyDescent="0.3">
      <c r="A808" t="s">
        <v>3259</v>
      </c>
      <c r="B808" t="s">
        <v>55</v>
      </c>
      <c r="C808" t="s">
        <v>3260</v>
      </c>
      <c r="D808">
        <v>284004.81</v>
      </c>
      <c r="E808" t="s">
        <v>3261</v>
      </c>
      <c r="F808">
        <v>15.08</v>
      </c>
      <c r="G808">
        <v>2.619999885559082</v>
      </c>
      <c r="H808">
        <v>3136</v>
      </c>
      <c r="I808">
        <v>0</v>
      </c>
      <c r="J808" t="s">
        <v>3262</v>
      </c>
      <c r="K808">
        <v>44600</v>
      </c>
      <c r="L808">
        <v>47300</v>
      </c>
      <c r="M808">
        <v>6.05</v>
      </c>
      <c r="N808">
        <v>-8.16</v>
      </c>
      <c r="O808">
        <v>-8.1999999999999993</v>
      </c>
      <c r="P808">
        <v>-1.75</v>
      </c>
      <c r="Q808">
        <v>-1.23</v>
      </c>
      <c r="R808">
        <v>-20</v>
      </c>
      <c r="S808">
        <v>1.05</v>
      </c>
      <c r="T808">
        <v>5.04</v>
      </c>
      <c r="U808">
        <v>3.09</v>
      </c>
      <c r="V808">
        <v>3.5</v>
      </c>
      <c r="W808">
        <v>4.2300000000000004</v>
      </c>
      <c r="X808">
        <v>2.11</v>
      </c>
      <c r="Y808">
        <v>3.98</v>
      </c>
      <c r="Z808">
        <v>1.62</v>
      </c>
      <c r="AA808">
        <v>2.65</v>
      </c>
      <c r="AB808">
        <v>0.5</v>
      </c>
      <c r="AC808">
        <v>0.28999999999999998</v>
      </c>
      <c r="AD808">
        <v>9.48</v>
      </c>
      <c r="AE808">
        <v>0.26</v>
      </c>
      <c r="AF808">
        <v>2.4666666666666659</v>
      </c>
      <c r="AG808" t="str">
        <f>HYPERLINK("https://finance.naver.com/item/fchart.naver?code=137400", "피엔티 차트보기")</f>
        <v>피엔티 차트보기</v>
      </c>
    </row>
    <row r="809" spans="1:33" x14ac:dyDescent="0.3">
      <c r="A809" t="s">
        <v>3263</v>
      </c>
      <c r="B809" t="s">
        <v>34</v>
      </c>
      <c r="C809" t="s">
        <v>3264</v>
      </c>
      <c r="D809">
        <v>9461.1</v>
      </c>
      <c r="E809" t="s">
        <v>3265</v>
      </c>
      <c r="F809">
        <v>8.59</v>
      </c>
      <c r="G809">
        <v>0.5899999737739563</v>
      </c>
      <c r="H809">
        <v>4133</v>
      </c>
      <c r="I809">
        <v>4.5500001907348633</v>
      </c>
      <c r="J809" t="s">
        <v>3266</v>
      </c>
      <c r="K809">
        <v>47150</v>
      </c>
      <c r="L809">
        <v>35500</v>
      </c>
      <c r="M809">
        <v>-24.71</v>
      </c>
      <c r="N809">
        <v>-2.74</v>
      </c>
      <c r="O809">
        <v>-9.26</v>
      </c>
      <c r="P809">
        <v>-2.76</v>
      </c>
      <c r="Q809">
        <v>-8.75</v>
      </c>
      <c r="R809">
        <v>-5.96</v>
      </c>
      <c r="S809">
        <v>-0.43</v>
      </c>
      <c r="T809">
        <v>2.04</v>
      </c>
      <c r="U809">
        <v>1.44</v>
      </c>
      <c r="V809">
        <v>2.14</v>
      </c>
      <c r="W809">
        <v>4.46</v>
      </c>
      <c r="X809">
        <v>1.66</v>
      </c>
      <c r="Y809">
        <v>2.31</v>
      </c>
      <c r="Z809">
        <v>1.34</v>
      </c>
      <c r="AA809">
        <v>6.43</v>
      </c>
      <c r="AB809">
        <v>1.29</v>
      </c>
      <c r="AC809">
        <v>1.96</v>
      </c>
      <c r="AD809">
        <v>3.59</v>
      </c>
      <c r="AE809">
        <v>0.19</v>
      </c>
      <c r="AF809">
        <v>2.4666666666666659</v>
      </c>
      <c r="AG809" t="str">
        <f>HYPERLINK("https://finance.naver.com/item/fchart.naver?code=058430", "포스코스틸리온 차트보기")</f>
        <v>포스코스틸리온 차트보기</v>
      </c>
    </row>
    <row r="810" spans="1:33" x14ac:dyDescent="0.3">
      <c r="A810" t="s">
        <v>3267</v>
      </c>
      <c r="B810" t="s">
        <v>55</v>
      </c>
      <c r="C810" t="s">
        <v>3268</v>
      </c>
      <c r="D810">
        <v>223154.9</v>
      </c>
      <c r="E810" t="s">
        <v>3269</v>
      </c>
      <c r="F810">
        <v>26.11</v>
      </c>
      <c r="G810">
        <v>1.75</v>
      </c>
      <c r="H810">
        <v>380</v>
      </c>
      <c r="I810">
        <v>1.0099999904632571</v>
      </c>
      <c r="J810" t="s">
        <v>3270</v>
      </c>
      <c r="K810">
        <v>9760</v>
      </c>
      <c r="L810">
        <v>9920</v>
      </c>
      <c r="M810">
        <v>1.64</v>
      </c>
      <c r="N810">
        <v>-7.2</v>
      </c>
      <c r="O810">
        <v>-2.39</v>
      </c>
      <c r="P810">
        <v>26.78</v>
      </c>
      <c r="Q810">
        <v>5.76</v>
      </c>
      <c r="R810">
        <v>-14.21</v>
      </c>
      <c r="S810">
        <v>2.4</v>
      </c>
      <c r="T810">
        <v>2.15</v>
      </c>
      <c r="U810">
        <v>2.77</v>
      </c>
      <c r="V810">
        <v>6.44</v>
      </c>
      <c r="W810">
        <v>5.37</v>
      </c>
      <c r="X810">
        <v>3.28</v>
      </c>
      <c r="Y810">
        <v>2.34</v>
      </c>
      <c r="Z810">
        <v>3.35</v>
      </c>
      <c r="AA810">
        <v>0.86</v>
      </c>
      <c r="AB810">
        <v>4.16</v>
      </c>
      <c r="AC810">
        <v>1.07</v>
      </c>
      <c r="AD810">
        <v>4.33</v>
      </c>
      <c r="AE810">
        <v>1.03</v>
      </c>
      <c r="AF810">
        <v>2.4666666666666668</v>
      </c>
      <c r="AG810" t="str">
        <f>HYPERLINK("https://finance.naver.com/item/fchart.naver?code=234690", "녹십자웰빙 차트보기")</f>
        <v>녹십자웰빙 차트보기</v>
      </c>
    </row>
    <row r="811" spans="1:33" x14ac:dyDescent="0.3">
      <c r="A811" t="s">
        <v>3271</v>
      </c>
      <c r="B811" t="s">
        <v>34</v>
      </c>
      <c r="C811" t="s">
        <v>3272</v>
      </c>
      <c r="D811">
        <v>5746.62</v>
      </c>
      <c r="E811" t="s">
        <v>3273</v>
      </c>
      <c r="F811">
        <v>6.28</v>
      </c>
      <c r="G811">
        <v>0.31000000238418579</v>
      </c>
      <c r="H811">
        <v>7753</v>
      </c>
      <c r="I811">
        <v>3.0799999237060551</v>
      </c>
      <c r="J811" t="s">
        <v>3274</v>
      </c>
      <c r="K811">
        <v>50300</v>
      </c>
      <c r="L811">
        <v>48700</v>
      </c>
      <c r="M811">
        <v>-3.18</v>
      </c>
      <c r="N811">
        <v>2.85</v>
      </c>
      <c r="O811">
        <v>-0.51</v>
      </c>
      <c r="P811">
        <v>2.5499999999999998</v>
      </c>
      <c r="Q811">
        <v>0.95</v>
      </c>
      <c r="R811">
        <v>-2.9</v>
      </c>
      <c r="S811">
        <v>-4.01</v>
      </c>
      <c r="T811">
        <v>1.86</v>
      </c>
      <c r="U811">
        <v>1.29</v>
      </c>
      <c r="V811">
        <v>1.18</v>
      </c>
      <c r="W811">
        <v>1.92</v>
      </c>
      <c r="X811">
        <v>0.53</v>
      </c>
      <c r="Y811">
        <v>0.84</v>
      </c>
      <c r="Z811">
        <v>1.53</v>
      </c>
      <c r="AA811">
        <v>0.4</v>
      </c>
      <c r="AB811">
        <v>2.16</v>
      </c>
      <c r="AC811">
        <v>0.49</v>
      </c>
      <c r="AD811">
        <v>5.47</v>
      </c>
      <c r="AE811">
        <v>4.7699999999999996</v>
      </c>
      <c r="AF811">
        <v>2.4700000000000002</v>
      </c>
      <c r="AG811" t="str">
        <f>HYPERLINK("https://finance.naver.com/item/fchart.naver?code=002170", "삼양통상 차트보기")</f>
        <v>삼양통상 차트보기</v>
      </c>
    </row>
    <row r="812" spans="1:33" x14ac:dyDescent="0.3">
      <c r="A812" t="s">
        <v>3275</v>
      </c>
      <c r="B812" t="s">
        <v>55</v>
      </c>
      <c r="C812" t="s">
        <v>3276</v>
      </c>
      <c r="D812">
        <v>17324.52</v>
      </c>
      <c r="E812" t="s">
        <v>3277</v>
      </c>
      <c r="F812">
        <v>4.83</v>
      </c>
      <c r="G812">
        <v>0.46000000834465032</v>
      </c>
      <c r="H812">
        <v>1330</v>
      </c>
      <c r="I812">
        <v>0.77999997138977051</v>
      </c>
      <c r="J812" t="s">
        <v>3278</v>
      </c>
      <c r="K812">
        <v>7500</v>
      </c>
      <c r="L812">
        <v>6420</v>
      </c>
      <c r="M812">
        <v>-14.4</v>
      </c>
      <c r="N812">
        <v>-1.23</v>
      </c>
      <c r="O812">
        <v>-0.9</v>
      </c>
      <c r="P812">
        <v>0.3</v>
      </c>
      <c r="Q812">
        <v>-8.2799999999999994</v>
      </c>
      <c r="R812">
        <v>-8.06</v>
      </c>
      <c r="S812">
        <v>6.96</v>
      </c>
      <c r="T812">
        <v>1.74</v>
      </c>
      <c r="U812">
        <v>1.06</v>
      </c>
      <c r="V812">
        <v>1.46</v>
      </c>
      <c r="W812">
        <v>2.87</v>
      </c>
      <c r="X812">
        <v>2.0699999999999998</v>
      </c>
      <c r="Y812">
        <v>1.1100000000000001</v>
      </c>
      <c r="Z812">
        <v>0.71</v>
      </c>
      <c r="AA812">
        <v>0.85</v>
      </c>
      <c r="AB812">
        <v>0.21</v>
      </c>
      <c r="AC812">
        <v>2.89</v>
      </c>
      <c r="AD812">
        <v>3.89</v>
      </c>
      <c r="AE812">
        <v>6.27</v>
      </c>
      <c r="AF812">
        <v>2.4700000000000002</v>
      </c>
      <c r="AG812" t="str">
        <f>HYPERLINK("https://finance.naver.com/item/fchart.naver?code=067900", "와이엔텍 차트보기")</f>
        <v>와이엔텍 차트보기</v>
      </c>
    </row>
    <row r="813" spans="1:33" x14ac:dyDescent="0.3">
      <c r="A813" t="s">
        <v>3279</v>
      </c>
      <c r="B813" t="s">
        <v>55</v>
      </c>
      <c r="C813" t="s">
        <v>3280</v>
      </c>
      <c r="D813">
        <v>73982.52</v>
      </c>
      <c r="E813" t="s">
        <v>3281</v>
      </c>
      <c r="F813">
        <v>0</v>
      </c>
      <c r="G813">
        <v>0.25</v>
      </c>
      <c r="H813">
        <v>0</v>
      </c>
      <c r="I813">
        <v>0</v>
      </c>
      <c r="J813" t="s">
        <v>3282</v>
      </c>
      <c r="K813">
        <v>216</v>
      </c>
      <c r="L813">
        <v>3720</v>
      </c>
      <c r="M813">
        <v>1622.22</v>
      </c>
      <c r="N813">
        <v>-3.25</v>
      </c>
      <c r="O813">
        <v>-16.510000000000002</v>
      </c>
      <c r="P813">
        <v>-4.3</v>
      </c>
      <c r="Q813">
        <v>-21.78</v>
      </c>
      <c r="R813">
        <v>8.2899999999999991</v>
      </c>
      <c r="S813">
        <v>-5.95</v>
      </c>
      <c r="T813">
        <v>2.21</v>
      </c>
      <c r="U813">
        <v>7.81</v>
      </c>
      <c r="V813">
        <v>3.2</v>
      </c>
      <c r="W813">
        <v>3.68</v>
      </c>
      <c r="X813">
        <v>3.79</v>
      </c>
      <c r="Y813">
        <v>3.31</v>
      </c>
      <c r="Z813">
        <v>1.47</v>
      </c>
      <c r="AA813">
        <v>2.11</v>
      </c>
      <c r="AB813">
        <v>1.34</v>
      </c>
      <c r="AC813">
        <v>5.92</v>
      </c>
      <c r="AD813">
        <v>2.19</v>
      </c>
      <c r="AE813">
        <v>1.8</v>
      </c>
      <c r="AF813">
        <v>2.4716666666666671</v>
      </c>
      <c r="AG813" t="str">
        <f>HYPERLINK("https://finance.naver.com/item/fchart.naver?code=016670", "디모아 차트보기")</f>
        <v>디모아 차트보기</v>
      </c>
    </row>
    <row r="814" spans="1:33" x14ac:dyDescent="0.3">
      <c r="A814" t="s">
        <v>3283</v>
      </c>
      <c r="B814" t="s">
        <v>55</v>
      </c>
      <c r="C814" t="s">
        <v>3284</v>
      </c>
      <c r="D814">
        <v>24324.52</v>
      </c>
      <c r="E814" t="s">
        <v>3285</v>
      </c>
      <c r="F814">
        <v>0</v>
      </c>
      <c r="G814">
        <v>0.77999997138977051</v>
      </c>
      <c r="H814">
        <v>0</v>
      </c>
      <c r="I814">
        <v>0</v>
      </c>
      <c r="J814" t="s">
        <v>3286</v>
      </c>
      <c r="K814">
        <v>4150</v>
      </c>
      <c r="L814">
        <v>2760</v>
      </c>
      <c r="M814">
        <v>-33.49</v>
      </c>
      <c r="N814">
        <v>-7.23</v>
      </c>
      <c r="O814">
        <v>-5.67</v>
      </c>
      <c r="P814">
        <v>-6.65</v>
      </c>
      <c r="Q814">
        <v>-9.18</v>
      </c>
      <c r="R814">
        <v>-3.14</v>
      </c>
      <c r="S814">
        <v>-3.08</v>
      </c>
      <c r="T814">
        <v>2.21</v>
      </c>
      <c r="U814">
        <v>1.5</v>
      </c>
      <c r="V814">
        <v>1.88</v>
      </c>
      <c r="W814">
        <v>4.96</v>
      </c>
      <c r="X814">
        <v>2.73</v>
      </c>
      <c r="Y814">
        <v>2.4900000000000002</v>
      </c>
      <c r="Z814">
        <v>3.27</v>
      </c>
      <c r="AA814">
        <v>3.78</v>
      </c>
      <c r="AB814">
        <v>3.54</v>
      </c>
      <c r="AC814">
        <v>1.85</v>
      </c>
      <c r="AD814">
        <v>1.1499999999999999</v>
      </c>
      <c r="AE814">
        <v>1.24</v>
      </c>
      <c r="AF814">
        <v>2.4716666666666671</v>
      </c>
      <c r="AG814" t="str">
        <f>HYPERLINK("https://finance.naver.com/item/fchart.naver?code=263700", "케어랩스 차트보기")</f>
        <v>케어랩스 차트보기</v>
      </c>
    </row>
    <row r="815" spans="1:33" x14ac:dyDescent="0.3">
      <c r="A815" t="s">
        <v>3287</v>
      </c>
      <c r="B815" t="s">
        <v>55</v>
      </c>
      <c r="C815" t="s">
        <v>3288</v>
      </c>
      <c r="D815">
        <v>364156.62</v>
      </c>
      <c r="E815" t="s">
        <v>3289</v>
      </c>
      <c r="F815">
        <v>0</v>
      </c>
      <c r="G815">
        <v>13.810000419616699</v>
      </c>
      <c r="H815">
        <v>0</v>
      </c>
      <c r="I815">
        <v>0</v>
      </c>
      <c r="J815" t="s">
        <v>3290</v>
      </c>
      <c r="K815">
        <v>111000</v>
      </c>
      <c r="L815">
        <v>133800</v>
      </c>
      <c r="M815">
        <v>20.54</v>
      </c>
      <c r="N815">
        <v>-3.53</v>
      </c>
      <c r="O815">
        <v>-2.0299999999999998</v>
      </c>
      <c r="P815">
        <v>-12.04</v>
      </c>
      <c r="Q815">
        <v>-13.38</v>
      </c>
      <c r="R815">
        <v>19.260000000000002</v>
      </c>
      <c r="S815">
        <v>18.010000000000002</v>
      </c>
      <c r="T815">
        <v>3.03</v>
      </c>
      <c r="U815">
        <v>3.75</v>
      </c>
      <c r="V815">
        <v>3.84</v>
      </c>
      <c r="W815">
        <v>5.14</v>
      </c>
      <c r="X815">
        <v>4.33</v>
      </c>
      <c r="Y815">
        <v>6.12</v>
      </c>
      <c r="Z815">
        <v>1.17</v>
      </c>
      <c r="AA815">
        <v>0.54</v>
      </c>
      <c r="AB815">
        <v>3.14</v>
      </c>
      <c r="AC815">
        <v>2.6</v>
      </c>
      <c r="AD815">
        <v>4.45</v>
      </c>
      <c r="AE815">
        <v>2.94</v>
      </c>
      <c r="AF815">
        <v>2.4733333333333332</v>
      </c>
      <c r="AG815" t="str">
        <f>HYPERLINK("https://finance.naver.com/item/fchart.naver?code=000250", "삼천당제약 차트보기")</f>
        <v>삼천당제약 차트보기</v>
      </c>
    </row>
    <row r="816" spans="1:33" x14ac:dyDescent="0.3">
      <c r="A816" t="s">
        <v>3291</v>
      </c>
      <c r="B816" t="s">
        <v>55</v>
      </c>
      <c r="C816" t="s">
        <v>3292</v>
      </c>
      <c r="D816">
        <v>4078187.71</v>
      </c>
      <c r="E816" t="s">
        <v>3293</v>
      </c>
      <c r="F816">
        <v>472.73</v>
      </c>
      <c r="G816">
        <v>3.6700000762939449</v>
      </c>
      <c r="H816">
        <v>11</v>
      </c>
      <c r="I816">
        <v>0</v>
      </c>
      <c r="J816" t="s">
        <v>3294</v>
      </c>
      <c r="K816">
        <v>5820</v>
      </c>
      <c r="L816">
        <v>5200</v>
      </c>
      <c r="M816">
        <v>-10.65</v>
      </c>
      <c r="N816">
        <v>10.4</v>
      </c>
      <c r="O816">
        <v>17.850000000000001</v>
      </c>
      <c r="P816">
        <v>-5.34</v>
      </c>
      <c r="Q816">
        <v>17.77</v>
      </c>
      <c r="R816">
        <v>-14.62</v>
      </c>
      <c r="S816">
        <v>-0.1</v>
      </c>
      <c r="T816">
        <v>5.56</v>
      </c>
      <c r="U816">
        <v>5.98</v>
      </c>
      <c r="V816">
        <v>5.78</v>
      </c>
      <c r="W816">
        <v>6.23</v>
      </c>
      <c r="X816">
        <v>2.36</v>
      </c>
      <c r="Y816">
        <v>2.99</v>
      </c>
      <c r="Z816">
        <v>1.87</v>
      </c>
      <c r="AA816">
        <v>2.98</v>
      </c>
      <c r="AB816">
        <v>0.92</v>
      </c>
      <c r="AC816">
        <v>2.85</v>
      </c>
      <c r="AD816">
        <v>6.19</v>
      </c>
      <c r="AE816">
        <v>0.03</v>
      </c>
      <c r="AF816">
        <v>2.4733333333333332</v>
      </c>
      <c r="AG816" t="str">
        <f>HYPERLINK("https://finance.naver.com/item/fchart.naver?code=356680", "엑스게이트 차트보기")</f>
        <v>엑스게이트 차트보기</v>
      </c>
    </row>
    <row r="817" spans="1:33" x14ac:dyDescent="0.3">
      <c r="A817" t="s">
        <v>3295</v>
      </c>
      <c r="B817" t="s">
        <v>55</v>
      </c>
      <c r="C817" t="s">
        <v>3296</v>
      </c>
      <c r="D817">
        <v>1821.71</v>
      </c>
      <c r="E817" t="s">
        <v>3297</v>
      </c>
      <c r="F817">
        <v>4</v>
      </c>
      <c r="G817">
        <v>0.14000000059604639</v>
      </c>
      <c r="H817">
        <v>1525</v>
      </c>
      <c r="I817">
        <v>1.639999985694885</v>
      </c>
      <c r="J817" t="s">
        <v>3298</v>
      </c>
      <c r="K817">
        <v>7300</v>
      </c>
      <c r="L817">
        <v>6100</v>
      </c>
      <c r="M817">
        <v>-16.440000000000001</v>
      </c>
      <c r="N817">
        <v>-0.81</v>
      </c>
      <c r="O817">
        <v>-4.2699999999999996</v>
      </c>
      <c r="P817">
        <v>0</v>
      </c>
      <c r="Q817">
        <v>-3.18</v>
      </c>
      <c r="R817">
        <v>-7.96</v>
      </c>
      <c r="S817">
        <v>-0.28000000000000003</v>
      </c>
      <c r="T817">
        <v>0.86</v>
      </c>
      <c r="U817">
        <v>1.19</v>
      </c>
      <c r="V817">
        <v>1.38</v>
      </c>
      <c r="W817">
        <v>1.47</v>
      </c>
      <c r="X817">
        <v>1.01</v>
      </c>
      <c r="Y817">
        <v>1.04</v>
      </c>
      <c r="Z817">
        <v>0.94</v>
      </c>
      <c r="AA817">
        <v>3.59</v>
      </c>
      <c r="AB817">
        <v>0</v>
      </c>
      <c r="AC817">
        <v>2.16</v>
      </c>
      <c r="AD817">
        <v>7.88</v>
      </c>
      <c r="AE817">
        <v>0.27</v>
      </c>
      <c r="AF817">
        <v>2.4733333333333332</v>
      </c>
      <c r="AG817" t="str">
        <f>HYPERLINK("https://finance.naver.com/item/fchart.naver?code=024830", "세원물산 차트보기")</f>
        <v>세원물산 차트보기</v>
      </c>
    </row>
    <row r="818" spans="1:33" x14ac:dyDescent="0.3">
      <c r="A818" t="s">
        <v>3299</v>
      </c>
      <c r="B818" t="s">
        <v>55</v>
      </c>
      <c r="C818" t="s">
        <v>3300</v>
      </c>
      <c r="D818">
        <v>93215.05</v>
      </c>
      <c r="E818" t="s">
        <v>3301</v>
      </c>
      <c r="F818">
        <v>0</v>
      </c>
      <c r="G818">
        <v>1.220000028610229</v>
      </c>
      <c r="H818">
        <v>0</v>
      </c>
      <c r="I818">
        <v>0</v>
      </c>
      <c r="J818" t="s">
        <v>3302</v>
      </c>
      <c r="K818">
        <v>4705</v>
      </c>
      <c r="L818">
        <v>3795</v>
      </c>
      <c r="M818">
        <v>-19.34</v>
      </c>
      <c r="N818">
        <v>-1.04</v>
      </c>
      <c r="O818">
        <v>-7.68</v>
      </c>
      <c r="P818">
        <v>1.48</v>
      </c>
      <c r="Q818">
        <v>-1.47</v>
      </c>
      <c r="R818">
        <v>-7.3</v>
      </c>
      <c r="S818">
        <v>-8.08</v>
      </c>
      <c r="T818">
        <v>1.89</v>
      </c>
      <c r="U818">
        <v>1.45</v>
      </c>
      <c r="V818">
        <v>2.04</v>
      </c>
      <c r="W818">
        <v>4.1500000000000004</v>
      </c>
      <c r="X818">
        <v>2.14</v>
      </c>
      <c r="Y818">
        <v>1.79</v>
      </c>
      <c r="Z818">
        <v>0.55000000000000004</v>
      </c>
      <c r="AA818">
        <v>5.3</v>
      </c>
      <c r="AB818">
        <v>0.73</v>
      </c>
      <c r="AC818">
        <v>0.35</v>
      </c>
      <c r="AD818">
        <v>3.41</v>
      </c>
      <c r="AE818">
        <v>4.51</v>
      </c>
      <c r="AF818">
        <v>2.4750000000000001</v>
      </c>
      <c r="AG818" t="str">
        <f>HYPERLINK("https://finance.naver.com/item/fchart.naver?code=222980", "한국맥널티 차트보기")</f>
        <v>한국맥널티 차트보기</v>
      </c>
    </row>
    <row r="819" spans="1:33" x14ac:dyDescent="0.3">
      <c r="A819" t="s">
        <v>3303</v>
      </c>
      <c r="B819" t="s">
        <v>55</v>
      </c>
      <c r="C819" t="s">
        <v>3304</v>
      </c>
      <c r="D819">
        <v>58356.38</v>
      </c>
      <c r="E819" t="s">
        <v>3305</v>
      </c>
      <c r="F819">
        <v>4.38</v>
      </c>
      <c r="G819">
        <v>0.82999998331069946</v>
      </c>
      <c r="H819">
        <v>1878</v>
      </c>
      <c r="I819">
        <v>1.820000052452087</v>
      </c>
      <c r="J819" t="s">
        <v>3306</v>
      </c>
      <c r="K819">
        <v>12210</v>
      </c>
      <c r="L819">
        <v>8220</v>
      </c>
      <c r="M819">
        <v>-32.68</v>
      </c>
      <c r="N819">
        <v>-5.52</v>
      </c>
      <c r="O819">
        <v>-3.83</v>
      </c>
      <c r="P819">
        <v>0.64</v>
      </c>
      <c r="Q819">
        <v>-3.28</v>
      </c>
      <c r="R819">
        <v>-7.7</v>
      </c>
      <c r="S819">
        <v>-15.65</v>
      </c>
      <c r="T819">
        <v>1.96</v>
      </c>
      <c r="U819">
        <v>2.31</v>
      </c>
      <c r="V819">
        <v>2.89</v>
      </c>
      <c r="W819">
        <v>4.32</v>
      </c>
      <c r="X819">
        <v>2.12</v>
      </c>
      <c r="Y819">
        <v>2.71</v>
      </c>
      <c r="Z819">
        <v>2.82</v>
      </c>
      <c r="AA819">
        <v>1.66</v>
      </c>
      <c r="AB819">
        <v>0.22</v>
      </c>
      <c r="AC819">
        <v>0.76</v>
      </c>
      <c r="AD819">
        <v>3.63</v>
      </c>
      <c r="AE819">
        <v>5.77</v>
      </c>
      <c r="AF819">
        <v>2.476666666666667</v>
      </c>
      <c r="AG819" t="str">
        <f>HYPERLINK("https://finance.naver.com/item/fchart.naver?code=093520", "매커스 차트보기")</f>
        <v>매커스 차트보기</v>
      </c>
    </row>
    <row r="820" spans="1:33" x14ac:dyDescent="0.3">
      <c r="A820" t="s">
        <v>3307</v>
      </c>
      <c r="B820" t="s">
        <v>55</v>
      </c>
      <c r="C820" t="s">
        <v>3308</v>
      </c>
      <c r="D820">
        <v>528106.23999999999</v>
      </c>
      <c r="E820" t="s">
        <v>3309</v>
      </c>
      <c r="F820">
        <v>0</v>
      </c>
      <c r="G820">
        <v>0.61000001430511475</v>
      </c>
      <c r="H820">
        <v>0</v>
      </c>
      <c r="I820">
        <v>0</v>
      </c>
      <c r="J820" t="s">
        <v>3310</v>
      </c>
      <c r="K820">
        <v>750</v>
      </c>
      <c r="L820">
        <v>527</v>
      </c>
      <c r="M820">
        <v>-29.73</v>
      </c>
      <c r="N820">
        <v>5.4</v>
      </c>
      <c r="O820">
        <v>-2.7</v>
      </c>
      <c r="P820">
        <v>-3.04</v>
      </c>
      <c r="Q820">
        <v>-0.74</v>
      </c>
      <c r="R820">
        <v>-13.41</v>
      </c>
      <c r="S820">
        <v>-6.93</v>
      </c>
      <c r="T820">
        <v>1.23</v>
      </c>
      <c r="U820">
        <v>1.7</v>
      </c>
      <c r="V820">
        <v>4.2300000000000004</v>
      </c>
      <c r="W820">
        <v>3.95</v>
      </c>
      <c r="X820">
        <v>5.15</v>
      </c>
      <c r="Y820">
        <v>1.29</v>
      </c>
      <c r="Z820">
        <v>4.3899999999999997</v>
      </c>
      <c r="AA820">
        <v>1.59</v>
      </c>
      <c r="AB820">
        <v>0.72</v>
      </c>
      <c r="AC820">
        <v>0.19</v>
      </c>
      <c r="AD820">
        <v>2.6</v>
      </c>
      <c r="AE820">
        <v>5.37</v>
      </c>
      <c r="AF820">
        <v>2.476666666666667</v>
      </c>
      <c r="AG820" t="str">
        <f>HYPERLINK("https://finance.naver.com/item/fchart.naver?code=184230", "SGA솔루션즈 차트보기")</f>
        <v>SGA솔루션즈 차트보기</v>
      </c>
    </row>
    <row r="821" spans="1:33" x14ac:dyDescent="0.3">
      <c r="A821" t="s">
        <v>3311</v>
      </c>
      <c r="B821" t="s">
        <v>55</v>
      </c>
      <c r="C821" t="s">
        <v>3312</v>
      </c>
      <c r="D821">
        <v>223263.38</v>
      </c>
      <c r="E821" t="s">
        <v>3313</v>
      </c>
      <c r="F821">
        <v>88.98</v>
      </c>
      <c r="G821">
        <v>5.4099998474121094</v>
      </c>
      <c r="H821">
        <v>463</v>
      </c>
      <c r="I821">
        <v>0.28999999165534968</v>
      </c>
      <c r="J821" t="s">
        <v>3314</v>
      </c>
      <c r="K821">
        <v>74100</v>
      </c>
      <c r="L821">
        <v>41200</v>
      </c>
      <c r="M821">
        <v>-44.4</v>
      </c>
      <c r="N821">
        <v>-4.5199999999999996</v>
      </c>
      <c r="O821">
        <v>-10.86</v>
      </c>
      <c r="P821">
        <v>-2.4900000000000002</v>
      </c>
      <c r="Q821">
        <v>-10.41</v>
      </c>
      <c r="R821">
        <v>-13.66</v>
      </c>
      <c r="S821">
        <v>-10.26</v>
      </c>
      <c r="T821">
        <v>2.75</v>
      </c>
      <c r="U821">
        <v>3.15</v>
      </c>
      <c r="V821">
        <v>2.72</v>
      </c>
      <c r="W821">
        <v>7.57</v>
      </c>
      <c r="X821">
        <v>3.38</v>
      </c>
      <c r="Y821">
        <v>2.99</v>
      </c>
      <c r="Z821">
        <v>1.64</v>
      </c>
      <c r="AA821">
        <v>3.45</v>
      </c>
      <c r="AB821">
        <v>0.92</v>
      </c>
      <c r="AC821">
        <v>1.38</v>
      </c>
      <c r="AD821">
        <v>4.04</v>
      </c>
      <c r="AE821">
        <v>3.43</v>
      </c>
      <c r="AF821">
        <v>2.476666666666667</v>
      </c>
      <c r="AG821" t="str">
        <f>HYPERLINK("https://finance.naver.com/item/fchart.naver?code=065350", "신성델타테크 차트보기")</f>
        <v>신성델타테크 차트보기</v>
      </c>
    </row>
    <row r="822" spans="1:33" x14ac:dyDescent="0.3">
      <c r="A822" t="s">
        <v>3315</v>
      </c>
      <c r="B822" t="s">
        <v>55</v>
      </c>
      <c r="C822" t="s">
        <v>3316</v>
      </c>
      <c r="D822">
        <v>183184.19</v>
      </c>
      <c r="E822" t="s">
        <v>3317</v>
      </c>
      <c r="F822">
        <v>12.33</v>
      </c>
      <c r="G822">
        <v>1.129999995231628</v>
      </c>
      <c r="H822">
        <v>302</v>
      </c>
      <c r="I822">
        <v>0</v>
      </c>
      <c r="J822" t="s">
        <v>3318</v>
      </c>
      <c r="K822">
        <v>3410</v>
      </c>
      <c r="L822">
        <v>3725</v>
      </c>
      <c r="M822">
        <v>9.24</v>
      </c>
      <c r="N822">
        <v>-4.12</v>
      </c>
      <c r="O822">
        <v>3.15</v>
      </c>
      <c r="P822">
        <v>2.14</v>
      </c>
      <c r="Q822">
        <v>-4.5999999999999996</v>
      </c>
      <c r="R822">
        <v>24.29</v>
      </c>
      <c r="S822">
        <v>-5.37</v>
      </c>
      <c r="T822">
        <v>1.44</v>
      </c>
      <c r="U822">
        <v>1.99</v>
      </c>
      <c r="V822">
        <v>2.04</v>
      </c>
      <c r="W822">
        <v>9.98</v>
      </c>
      <c r="X822">
        <v>7.2</v>
      </c>
      <c r="Y822">
        <v>0.97</v>
      </c>
      <c r="Z822">
        <v>2.86</v>
      </c>
      <c r="AA822">
        <v>1.58</v>
      </c>
      <c r="AB822">
        <v>1.05</v>
      </c>
      <c r="AC822">
        <v>0.46</v>
      </c>
      <c r="AD822">
        <v>3.37</v>
      </c>
      <c r="AE822">
        <v>5.54</v>
      </c>
      <c r="AF822">
        <v>2.476666666666667</v>
      </c>
      <c r="AG822" t="str">
        <f>HYPERLINK("https://finance.naver.com/item/fchart.naver?code=018680", "서울제약 차트보기")</f>
        <v>서울제약 차트보기</v>
      </c>
    </row>
    <row r="823" spans="1:33" x14ac:dyDescent="0.3">
      <c r="A823" t="s">
        <v>3319</v>
      </c>
      <c r="B823" t="s">
        <v>34</v>
      </c>
      <c r="C823" t="s">
        <v>3320</v>
      </c>
      <c r="D823">
        <v>25354.81</v>
      </c>
      <c r="E823" t="s">
        <v>3321</v>
      </c>
      <c r="F823">
        <v>0</v>
      </c>
      <c r="G823">
        <v>0</v>
      </c>
      <c r="H823">
        <v>0</v>
      </c>
      <c r="I823">
        <v>4.9499998092651367</v>
      </c>
      <c r="J823" t="s">
        <v>3322</v>
      </c>
      <c r="K823">
        <v>2905</v>
      </c>
      <c r="L823">
        <v>2425</v>
      </c>
      <c r="M823">
        <v>-16.52</v>
      </c>
      <c r="N823">
        <v>-1.82</v>
      </c>
      <c r="O823">
        <v>-3.5</v>
      </c>
      <c r="P823">
        <v>-0.56999999999999995</v>
      </c>
      <c r="Q823">
        <v>-4.24</v>
      </c>
      <c r="R823">
        <v>-3.57</v>
      </c>
      <c r="S823">
        <v>-2.4300000000000002</v>
      </c>
      <c r="T823">
        <v>1.63</v>
      </c>
      <c r="U823">
        <v>0.84</v>
      </c>
      <c r="V823">
        <v>1.25</v>
      </c>
      <c r="W823">
        <v>1.74</v>
      </c>
      <c r="X823">
        <v>0.69</v>
      </c>
      <c r="Y823">
        <v>1.62</v>
      </c>
      <c r="Z823">
        <v>1.1200000000000001</v>
      </c>
      <c r="AA823">
        <v>4.17</v>
      </c>
      <c r="AB823">
        <v>0.46</v>
      </c>
      <c r="AC823">
        <v>2.44</v>
      </c>
      <c r="AD823">
        <v>5.17</v>
      </c>
      <c r="AE823">
        <v>1.5</v>
      </c>
      <c r="AF823">
        <v>2.476666666666667</v>
      </c>
      <c r="AG823" t="str">
        <f>HYPERLINK("https://finance.naver.com/item/fchart.naver?code=001795", "대한제당우 차트보기")</f>
        <v>대한제당우 차트보기</v>
      </c>
    </row>
    <row r="824" spans="1:33" x14ac:dyDescent="0.3">
      <c r="A824" t="s">
        <v>3323</v>
      </c>
      <c r="B824" t="s">
        <v>55</v>
      </c>
      <c r="C824" t="s">
        <v>3324</v>
      </c>
      <c r="D824">
        <v>75769.100000000006</v>
      </c>
      <c r="E824" t="s">
        <v>3325</v>
      </c>
      <c r="F824">
        <v>9.8000000000000007</v>
      </c>
      <c r="G824">
        <v>0.72000002861022949</v>
      </c>
      <c r="H824">
        <v>4406</v>
      </c>
      <c r="I824">
        <v>0.46000000834465032</v>
      </c>
      <c r="J824" t="s">
        <v>3326</v>
      </c>
      <c r="K824">
        <v>85200</v>
      </c>
      <c r="L824">
        <v>43200</v>
      </c>
      <c r="M824">
        <v>-49.3</v>
      </c>
      <c r="N824">
        <v>-12.02</v>
      </c>
      <c r="O824">
        <v>-16.41</v>
      </c>
      <c r="P824">
        <v>0</v>
      </c>
      <c r="Q824">
        <v>1.29</v>
      </c>
      <c r="R824">
        <v>-22.08</v>
      </c>
      <c r="S824">
        <v>-0.74</v>
      </c>
      <c r="T824">
        <v>3.3</v>
      </c>
      <c r="U824">
        <v>2.74</v>
      </c>
      <c r="V824">
        <v>4.0999999999999996</v>
      </c>
      <c r="W824">
        <v>5.13</v>
      </c>
      <c r="X824">
        <v>4.53</v>
      </c>
      <c r="Y824">
        <v>6.71</v>
      </c>
      <c r="Z824">
        <v>3.64</v>
      </c>
      <c r="AA824">
        <v>5.99</v>
      </c>
      <c r="AB824">
        <v>0</v>
      </c>
      <c r="AC824">
        <v>0.25</v>
      </c>
      <c r="AD824">
        <v>4.87</v>
      </c>
      <c r="AE824">
        <v>0.11</v>
      </c>
      <c r="AF824">
        <v>2.476666666666667</v>
      </c>
      <c r="AG824" t="str">
        <f>HYPERLINK("https://finance.naver.com/item/fchart.naver?code=036830", "솔브레인홀딩스 차트보기")</f>
        <v>솔브레인홀딩스 차트보기</v>
      </c>
    </row>
    <row r="825" spans="1:33" x14ac:dyDescent="0.3">
      <c r="A825" t="s">
        <v>3327</v>
      </c>
      <c r="B825" t="s">
        <v>55</v>
      </c>
      <c r="C825" t="s">
        <v>3328</v>
      </c>
      <c r="D825">
        <v>966230.19</v>
      </c>
      <c r="E825" t="s">
        <v>3329</v>
      </c>
      <c r="F825">
        <v>0</v>
      </c>
      <c r="G825">
        <v>2.3299999237060551</v>
      </c>
      <c r="H825">
        <v>0</v>
      </c>
      <c r="I825">
        <v>0</v>
      </c>
      <c r="J825" t="s">
        <v>3330</v>
      </c>
      <c r="K825">
        <v>2910</v>
      </c>
      <c r="L825">
        <v>2335</v>
      </c>
      <c r="M825">
        <v>-19.760000000000002</v>
      </c>
      <c r="N825">
        <v>-3.91</v>
      </c>
      <c r="O825">
        <v>-12</v>
      </c>
      <c r="P825">
        <v>-8.8000000000000007</v>
      </c>
      <c r="Q825">
        <v>-7.54</v>
      </c>
      <c r="R825">
        <v>-10.29</v>
      </c>
      <c r="S825">
        <v>-7.36</v>
      </c>
      <c r="T825">
        <v>13.41</v>
      </c>
      <c r="U825">
        <v>2.87</v>
      </c>
      <c r="V825">
        <v>2.52</v>
      </c>
      <c r="W825">
        <v>5.26</v>
      </c>
      <c r="X825">
        <v>4.5999999999999996</v>
      </c>
      <c r="Y825">
        <v>2.2799999999999998</v>
      </c>
      <c r="Z825">
        <v>0.28999999999999998</v>
      </c>
      <c r="AA825">
        <v>4.18</v>
      </c>
      <c r="AB825">
        <v>3.49</v>
      </c>
      <c r="AC825">
        <v>1.43</v>
      </c>
      <c r="AD825">
        <v>2.2400000000000002</v>
      </c>
      <c r="AE825">
        <v>3.23</v>
      </c>
      <c r="AF825">
        <v>2.476666666666667</v>
      </c>
      <c r="AG825" t="str">
        <f>HYPERLINK("https://finance.naver.com/item/fchart.naver?code=298060", "에스씨엠생명과학 차트보기")</f>
        <v>에스씨엠생명과학 차트보기</v>
      </c>
    </row>
    <row r="826" spans="1:33" x14ac:dyDescent="0.3">
      <c r="A826" t="s">
        <v>3331</v>
      </c>
      <c r="B826" t="s">
        <v>34</v>
      </c>
      <c r="C826" t="s">
        <v>3332</v>
      </c>
      <c r="D826">
        <v>24939.62</v>
      </c>
      <c r="E826" t="s">
        <v>3333</v>
      </c>
      <c r="F826">
        <v>6.23</v>
      </c>
      <c r="G826">
        <v>1.1000000238418579</v>
      </c>
      <c r="H826">
        <v>1818</v>
      </c>
      <c r="I826">
        <v>4.4099998474121094</v>
      </c>
      <c r="J826" t="s">
        <v>3334</v>
      </c>
      <c r="K826">
        <v>12390</v>
      </c>
      <c r="L826">
        <v>11330</v>
      </c>
      <c r="M826">
        <v>-8.56</v>
      </c>
      <c r="N826">
        <v>3.85</v>
      </c>
      <c r="O826">
        <v>0.37</v>
      </c>
      <c r="P826">
        <v>-4.97</v>
      </c>
      <c r="Q826">
        <v>-2.0299999999999998</v>
      </c>
      <c r="R826">
        <v>0.17</v>
      </c>
      <c r="S826">
        <v>-1.81</v>
      </c>
      <c r="T826">
        <v>1.78</v>
      </c>
      <c r="U826">
        <v>0.68</v>
      </c>
      <c r="V826">
        <v>0.97</v>
      </c>
      <c r="W826">
        <v>1.61</v>
      </c>
      <c r="X826">
        <v>0.54</v>
      </c>
      <c r="Y826">
        <v>0.33</v>
      </c>
      <c r="Z826">
        <v>2.16</v>
      </c>
      <c r="AA826">
        <v>0.54</v>
      </c>
      <c r="AB826">
        <v>5.12</v>
      </c>
      <c r="AC826">
        <v>1.26</v>
      </c>
      <c r="AD826">
        <v>0.31</v>
      </c>
      <c r="AE826">
        <v>5.48</v>
      </c>
      <c r="AF826">
        <v>2.4783333333333331</v>
      </c>
      <c r="AG826" t="str">
        <f>HYPERLINK("https://finance.naver.com/item/fchart.naver?code=234080", "JW생명과학 차트보기")</f>
        <v>JW생명과학 차트보기</v>
      </c>
    </row>
    <row r="827" spans="1:33" x14ac:dyDescent="0.3">
      <c r="A827" t="s">
        <v>3335</v>
      </c>
      <c r="B827" t="s">
        <v>55</v>
      </c>
      <c r="C827" t="s">
        <v>3336</v>
      </c>
      <c r="D827">
        <v>16563.71</v>
      </c>
      <c r="E827" t="s">
        <v>3337</v>
      </c>
      <c r="F827">
        <v>7.66</v>
      </c>
      <c r="G827">
        <v>0.93000000715255737</v>
      </c>
      <c r="H827">
        <v>1507</v>
      </c>
      <c r="I827">
        <v>3.4600000381469731</v>
      </c>
      <c r="J827" t="s">
        <v>3338</v>
      </c>
      <c r="K827">
        <v>15740</v>
      </c>
      <c r="L827">
        <v>11550</v>
      </c>
      <c r="M827">
        <v>-26.62</v>
      </c>
      <c r="N827">
        <v>-7.08</v>
      </c>
      <c r="O827">
        <v>-5.29</v>
      </c>
      <c r="P827">
        <v>-6.41</v>
      </c>
      <c r="Q827">
        <v>7.22</v>
      </c>
      <c r="R827">
        <v>-0.37</v>
      </c>
      <c r="S827">
        <v>-4.2300000000000004</v>
      </c>
      <c r="T827">
        <v>1.6</v>
      </c>
      <c r="U827">
        <v>1.66</v>
      </c>
      <c r="V827">
        <v>2.2799999999999998</v>
      </c>
      <c r="W827">
        <v>4.0199999999999996</v>
      </c>
      <c r="X827">
        <v>1.89</v>
      </c>
      <c r="Y827">
        <v>1.72</v>
      </c>
      <c r="Z827">
        <v>4.42</v>
      </c>
      <c r="AA827">
        <v>3.19</v>
      </c>
      <c r="AB827">
        <v>2.81</v>
      </c>
      <c r="AC827">
        <v>1.8</v>
      </c>
      <c r="AD827">
        <v>0.2</v>
      </c>
      <c r="AE827">
        <v>2.46</v>
      </c>
      <c r="AF827">
        <v>2.48</v>
      </c>
      <c r="AG827" t="str">
        <f>HYPERLINK("https://finance.naver.com/item/fchart.naver?code=264660", "씨앤지하이테크 차트보기")</f>
        <v>씨앤지하이테크 차트보기</v>
      </c>
    </row>
    <row r="828" spans="1:33" x14ac:dyDescent="0.3">
      <c r="A828" t="s">
        <v>3339</v>
      </c>
      <c r="B828" t="s">
        <v>55</v>
      </c>
      <c r="C828" t="s">
        <v>3340</v>
      </c>
      <c r="D828">
        <v>128204.38</v>
      </c>
      <c r="E828" t="s">
        <v>3341</v>
      </c>
      <c r="F828">
        <v>63.59</v>
      </c>
      <c r="G828">
        <v>0.38999998569488531</v>
      </c>
      <c r="H828">
        <v>22</v>
      </c>
      <c r="I828">
        <v>1.7899999618530269</v>
      </c>
      <c r="J828" t="s">
        <v>3342</v>
      </c>
      <c r="K828">
        <v>1470</v>
      </c>
      <c r="L828">
        <v>1399</v>
      </c>
      <c r="M828">
        <v>-4.83</v>
      </c>
      <c r="N828">
        <v>0.28999999999999998</v>
      </c>
      <c r="O828">
        <v>4.78</v>
      </c>
      <c r="P828">
        <v>2.33</v>
      </c>
      <c r="Q828">
        <v>-3.49</v>
      </c>
      <c r="R828">
        <v>-5.23</v>
      </c>
      <c r="S828">
        <v>-0.61</v>
      </c>
      <c r="T828">
        <v>0.77</v>
      </c>
      <c r="U828">
        <v>0.84</v>
      </c>
      <c r="V828">
        <v>1.36</v>
      </c>
      <c r="W828">
        <v>2.78</v>
      </c>
      <c r="X828">
        <v>0.96</v>
      </c>
      <c r="Y828">
        <v>1.58</v>
      </c>
      <c r="Z828">
        <v>0.38</v>
      </c>
      <c r="AA828">
        <v>5.69</v>
      </c>
      <c r="AB828">
        <v>1.71</v>
      </c>
      <c r="AC828">
        <v>1.26</v>
      </c>
      <c r="AD828">
        <v>5.45</v>
      </c>
      <c r="AE828">
        <v>0.39</v>
      </c>
      <c r="AF828">
        <v>2.48</v>
      </c>
      <c r="AG828" t="str">
        <f>HYPERLINK("https://finance.naver.com/item/fchart.naver?code=073560", "우리손에프앤지 차트보기")</f>
        <v>우리손에프앤지 차트보기</v>
      </c>
    </row>
    <row r="829" spans="1:33" x14ac:dyDescent="0.3">
      <c r="A829" t="s">
        <v>3343</v>
      </c>
      <c r="B829" t="s">
        <v>34</v>
      </c>
      <c r="C829" t="s">
        <v>3344</v>
      </c>
      <c r="D829">
        <v>134735.76</v>
      </c>
      <c r="E829" t="s">
        <v>3345</v>
      </c>
      <c r="F829">
        <v>14.98</v>
      </c>
      <c r="G829">
        <v>1.200000047683716</v>
      </c>
      <c r="H829">
        <v>8965</v>
      </c>
      <c r="I829">
        <v>2.0099999904632568</v>
      </c>
      <c r="J829" t="s">
        <v>3346</v>
      </c>
      <c r="K829">
        <v>161700</v>
      </c>
      <c r="L829">
        <v>134300</v>
      </c>
      <c r="M829">
        <v>-16.940000000000001</v>
      </c>
      <c r="N829">
        <v>-5.82</v>
      </c>
      <c r="O829">
        <v>-5.17</v>
      </c>
      <c r="P829">
        <v>1.38</v>
      </c>
      <c r="Q829">
        <v>2.66</v>
      </c>
      <c r="R829">
        <v>-3.47</v>
      </c>
      <c r="S829">
        <v>-6.49</v>
      </c>
      <c r="T829">
        <v>1.1000000000000001</v>
      </c>
      <c r="U829">
        <v>2.11</v>
      </c>
      <c r="V829">
        <v>1.96</v>
      </c>
      <c r="W829">
        <v>2.12</v>
      </c>
      <c r="X829">
        <v>1.69</v>
      </c>
      <c r="Y829">
        <v>2.06</v>
      </c>
      <c r="Z829">
        <v>5.29</v>
      </c>
      <c r="AA829">
        <v>2.4500000000000002</v>
      </c>
      <c r="AB829">
        <v>0.7</v>
      </c>
      <c r="AC829">
        <v>1.25</v>
      </c>
      <c r="AD829">
        <v>2.0499999999999998</v>
      </c>
      <c r="AE829">
        <v>3.15</v>
      </c>
      <c r="AF829">
        <v>2.481666666666666</v>
      </c>
      <c r="AG829" t="str">
        <f>HYPERLINK("https://finance.naver.com/item/fchart.naver?code=018260", "삼성에스디에스 차트보기")</f>
        <v>삼성에스디에스 차트보기</v>
      </c>
    </row>
    <row r="830" spans="1:33" x14ac:dyDescent="0.3">
      <c r="A830" t="s">
        <v>3347</v>
      </c>
      <c r="B830" t="s">
        <v>55</v>
      </c>
      <c r="C830" t="s">
        <v>3348</v>
      </c>
      <c r="D830">
        <v>28701.1</v>
      </c>
      <c r="E830" t="s">
        <v>3349</v>
      </c>
      <c r="F830">
        <v>8.59</v>
      </c>
      <c r="G830">
        <v>0.68000000715255737</v>
      </c>
      <c r="H830">
        <v>1293</v>
      </c>
      <c r="I830">
        <v>0</v>
      </c>
      <c r="J830" t="s">
        <v>3350</v>
      </c>
      <c r="K830">
        <v>15230</v>
      </c>
      <c r="L830">
        <v>11110</v>
      </c>
      <c r="M830">
        <v>-27.05</v>
      </c>
      <c r="N830">
        <v>7.66</v>
      </c>
      <c r="O830">
        <v>-8.31</v>
      </c>
      <c r="P830">
        <v>4.16</v>
      </c>
      <c r="Q830">
        <v>-11.65</v>
      </c>
      <c r="R830">
        <v>-8.09</v>
      </c>
      <c r="S830">
        <v>-1.04</v>
      </c>
      <c r="T830">
        <v>2.7</v>
      </c>
      <c r="U830">
        <v>2.16</v>
      </c>
      <c r="V830">
        <v>2.0699999999999998</v>
      </c>
      <c r="W830">
        <v>4.1900000000000004</v>
      </c>
      <c r="X830">
        <v>2.96</v>
      </c>
      <c r="Y830">
        <v>1.52</v>
      </c>
      <c r="Z830">
        <v>2.84</v>
      </c>
      <c r="AA830">
        <v>3.85</v>
      </c>
      <c r="AB830">
        <v>2.0099999999999998</v>
      </c>
      <c r="AC830">
        <v>2.78</v>
      </c>
      <c r="AD830">
        <v>2.73</v>
      </c>
      <c r="AE830">
        <v>0.68</v>
      </c>
      <c r="AF830">
        <v>2.481666666666666</v>
      </c>
      <c r="AG830" t="str">
        <f>HYPERLINK("https://finance.naver.com/item/fchart.naver?code=084730", "팅크웨어 차트보기")</f>
        <v>팅크웨어 차트보기</v>
      </c>
    </row>
    <row r="831" spans="1:33" x14ac:dyDescent="0.3">
      <c r="A831" t="s">
        <v>3351</v>
      </c>
      <c r="B831" t="s">
        <v>34</v>
      </c>
      <c r="C831" t="s">
        <v>3352</v>
      </c>
      <c r="D831">
        <v>146037.29</v>
      </c>
      <c r="E831" t="s">
        <v>3353</v>
      </c>
      <c r="F831">
        <v>7.12</v>
      </c>
      <c r="G831">
        <v>0.57999998331069946</v>
      </c>
      <c r="H831">
        <v>816</v>
      </c>
      <c r="I831">
        <v>3.440000057220459</v>
      </c>
      <c r="J831" t="s">
        <v>3354</v>
      </c>
      <c r="K831">
        <v>5440</v>
      </c>
      <c r="L831">
        <v>5810</v>
      </c>
      <c r="M831">
        <v>6.8</v>
      </c>
      <c r="N831">
        <v>-5.68</v>
      </c>
      <c r="O831">
        <v>4.41</v>
      </c>
      <c r="P831">
        <v>0.35</v>
      </c>
      <c r="Q831">
        <v>-21.42</v>
      </c>
      <c r="R831">
        <v>3.56</v>
      </c>
      <c r="S831">
        <v>24</v>
      </c>
      <c r="T831">
        <v>2.5</v>
      </c>
      <c r="U831">
        <v>1.88</v>
      </c>
      <c r="V831">
        <v>1.67</v>
      </c>
      <c r="W831">
        <v>3.63</v>
      </c>
      <c r="X831">
        <v>3.13</v>
      </c>
      <c r="Y831">
        <v>7.96</v>
      </c>
      <c r="Z831">
        <v>2.27</v>
      </c>
      <c r="AA831">
        <v>2.35</v>
      </c>
      <c r="AB831">
        <v>0.21</v>
      </c>
      <c r="AC831">
        <v>5.9</v>
      </c>
      <c r="AD831">
        <v>1.1399999999999999</v>
      </c>
      <c r="AE831">
        <v>3.02</v>
      </c>
      <c r="AF831">
        <v>2.4816666666666669</v>
      </c>
      <c r="AG831" t="str">
        <f>HYPERLINK("https://finance.naver.com/item/fchart.naver?code=101530", "해태제과식품 차트보기")</f>
        <v>해태제과식품 차트보기</v>
      </c>
    </row>
    <row r="832" spans="1:33" x14ac:dyDescent="0.3">
      <c r="A832" t="s">
        <v>3355</v>
      </c>
      <c r="B832" t="s">
        <v>34</v>
      </c>
      <c r="C832" t="s">
        <v>3356</v>
      </c>
      <c r="D832">
        <v>220448</v>
      </c>
      <c r="E832" t="s">
        <v>3357</v>
      </c>
      <c r="F832">
        <v>11.34</v>
      </c>
      <c r="G832">
        <v>0.79000002145767212</v>
      </c>
      <c r="H832">
        <v>201</v>
      </c>
      <c r="I832">
        <v>0</v>
      </c>
      <c r="J832" t="s">
        <v>3358</v>
      </c>
      <c r="K832">
        <v>3345</v>
      </c>
      <c r="L832">
        <v>2280</v>
      </c>
      <c r="M832">
        <v>-31.84</v>
      </c>
      <c r="N832">
        <v>-0.22</v>
      </c>
      <c r="O832">
        <v>-4.54</v>
      </c>
      <c r="P832">
        <v>-0.81</v>
      </c>
      <c r="Q832">
        <v>-9.32</v>
      </c>
      <c r="R832">
        <v>-8.3800000000000008</v>
      </c>
      <c r="S832">
        <v>-5.46</v>
      </c>
      <c r="T832">
        <v>1.88</v>
      </c>
      <c r="U832">
        <v>1.64</v>
      </c>
      <c r="V832">
        <v>1.91</v>
      </c>
      <c r="W832">
        <v>4.2300000000000004</v>
      </c>
      <c r="X832">
        <v>1.53</v>
      </c>
      <c r="Y832">
        <v>1.4</v>
      </c>
      <c r="Z832">
        <v>0.12</v>
      </c>
      <c r="AA832">
        <v>2.77</v>
      </c>
      <c r="AB832">
        <v>0.42</v>
      </c>
      <c r="AC832">
        <v>2.2000000000000002</v>
      </c>
      <c r="AD832">
        <v>5.48</v>
      </c>
      <c r="AE832">
        <v>3.9</v>
      </c>
      <c r="AF832">
        <v>2.4816666666666669</v>
      </c>
      <c r="AG832" t="str">
        <f>HYPERLINK("https://finance.naver.com/item/fchart.naver?code=001780", "알루코 차트보기")</f>
        <v>알루코 차트보기</v>
      </c>
    </row>
    <row r="833" spans="1:33" x14ac:dyDescent="0.3">
      <c r="A833" t="s">
        <v>3359</v>
      </c>
      <c r="B833" t="s">
        <v>55</v>
      </c>
      <c r="C833" t="s">
        <v>3360</v>
      </c>
      <c r="D833">
        <v>217437.57</v>
      </c>
      <c r="E833" t="s">
        <v>3361</v>
      </c>
      <c r="F833">
        <v>35.24</v>
      </c>
      <c r="G833">
        <v>2.25</v>
      </c>
      <c r="H833">
        <v>84</v>
      </c>
      <c r="I833">
        <v>0</v>
      </c>
      <c r="J833" t="s">
        <v>3362</v>
      </c>
      <c r="K833">
        <v>4375</v>
      </c>
      <c r="L833">
        <v>2960</v>
      </c>
      <c r="M833">
        <v>-32.340000000000003</v>
      </c>
      <c r="N833">
        <v>11.7</v>
      </c>
      <c r="O833">
        <v>-1.47</v>
      </c>
      <c r="P833">
        <v>8.6</v>
      </c>
      <c r="Q833">
        <v>-27.66</v>
      </c>
      <c r="R833">
        <v>-21.5</v>
      </c>
      <c r="S833">
        <v>2.91</v>
      </c>
      <c r="T833">
        <v>5.77</v>
      </c>
      <c r="U833">
        <v>4.84</v>
      </c>
      <c r="V833">
        <v>3.65</v>
      </c>
      <c r="W833">
        <v>4.8899999999999997</v>
      </c>
      <c r="X833">
        <v>5.54</v>
      </c>
      <c r="Y833">
        <v>4.29</v>
      </c>
      <c r="Z833">
        <v>2.0299999999999998</v>
      </c>
      <c r="AA833">
        <v>0.3</v>
      </c>
      <c r="AB833">
        <v>2.36</v>
      </c>
      <c r="AC833">
        <v>5.66</v>
      </c>
      <c r="AD833">
        <v>3.88</v>
      </c>
      <c r="AE833">
        <v>0.68</v>
      </c>
      <c r="AF833">
        <v>2.4849999999999999</v>
      </c>
      <c r="AG833" t="str">
        <f>HYPERLINK("https://finance.naver.com/item/fchart.naver?code=320000", "한울반도체 차트보기")</f>
        <v>한울반도체 차트보기</v>
      </c>
    </row>
    <row r="834" spans="1:33" x14ac:dyDescent="0.3">
      <c r="A834" t="s">
        <v>3363</v>
      </c>
      <c r="B834" t="s">
        <v>55</v>
      </c>
      <c r="C834" t="s">
        <v>3364</v>
      </c>
      <c r="D834">
        <v>684521.38</v>
      </c>
      <c r="E834" t="s">
        <v>3365</v>
      </c>
      <c r="F834">
        <v>4.91</v>
      </c>
      <c r="G834">
        <v>0.93000000715255737</v>
      </c>
      <c r="H834">
        <v>3483</v>
      </c>
      <c r="I834">
        <v>2.9200000762939449</v>
      </c>
      <c r="J834" t="s">
        <v>3366</v>
      </c>
      <c r="K834">
        <v>24250</v>
      </c>
      <c r="L834">
        <v>17100</v>
      </c>
      <c r="M834">
        <v>-29.48</v>
      </c>
      <c r="N834">
        <v>3.14</v>
      </c>
      <c r="O834">
        <v>-1.7</v>
      </c>
      <c r="P834">
        <v>-4.38</v>
      </c>
      <c r="Q834">
        <v>-9.4499999999999993</v>
      </c>
      <c r="R834">
        <v>-12.82</v>
      </c>
      <c r="S834">
        <v>-3.91</v>
      </c>
      <c r="T834">
        <v>3.44</v>
      </c>
      <c r="U834">
        <v>4.26</v>
      </c>
      <c r="V834">
        <v>2.04</v>
      </c>
      <c r="W834">
        <v>3.61</v>
      </c>
      <c r="X834">
        <v>1.74</v>
      </c>
      <c r="Y834">
        <v>2.68</v>
      </c>
      <c r="Z834">
        <v>0.91</v>
      </c>
      <c r="AA834">
        <v>0.4</v>
      </c>
      <c r="AB834">
        <v>2.15</v>
      </c>
      <c r="AC834">
        <v>2.62</v>
      </c>
      <c r="AD834">
        <v>7.37</v>
      </c>
      <c r="AE834">
        <v>1.46</v>
      </c>
      <c r="AF834">
        <v>2.4849999999999999</v>
      </c>
      <c r="AG834" t="str">
        <f>HYPERLINK("https://finance.naver.com/item/fchart.naver?code=126700", "하이비젼시스템 차트보기")</f>
        <v>하이비젼시스템 차트보기</v>
      </c>
    </row>
    <row r="835" spans="1:33" x14ac:dyDescent="0.3">
      <c r="A835" t="s">
        <v>3367</v>
      </c>
      <c r="B835" t="s">
        <v>34</v>
      </c>
      <c r="C835" t="s">
        <v>3368</v>
      </c>
      <c r="D835">
        <v>926720.62</v>
      </c>
      <c r="E835" t="s">
        <v>3369</v>
      </c>
      <c r="F835">
        <v>10.98</v>
      </c>
      <c r="G835">
        <v>0.64999997615814209</v>
      </c>
      <c r="H835">
        <v>4043</v>
      </c>
      <c r="I835">
        <v>4.4099998474121094</v>
      </c>
      <c r="J835" t="s">
        <v>3370</v>
      </c>
      <c r="K835">
        <v>37700</v>
      </c>
      <c r="L835">
        <v>44400</v>
      </c>
      <c r="M835">
        <v>17.77</v>
      </c>
      <c r="N835">
        <v>0.23</v>
      </c>
      <c r="O835">
        <v>11.57</v>
      </c>
      <c r="P835">
        <v>2.81</v>
      </c>
      <c r="Q835">
        <v>-0.39</v>
      </c>
      <c r="R835">
        <v>7.99</v>
      </c>
      <c r="S835">
        <v>0.4</v>
      </c>
      <c r="T835">
        <v>4.01</v>
      </c>
      <c r="U835">
        <v>1.69</v>
      </c>
      <c r="V835">
        <v>1.65</v>
      </c>
      <c r="W835">
        <v>2.02</v>
      </c>
      <c r="X835">
        <v>1.38</v>
      </c>
      <c r="Y835">
        <v>1.21</v>
      </c>
      <c r="Z835">
        <v>0.06</v>
      </c>
      <c r="AA835">
        <v>6.85</v>
      </c>
      <c r="AB835">
        <v>1.7</v>
      </c>
      <c r="AC835">
        <v>0.19</v>
      </c>
      <c r="AD835">
        <v>5.79</v>
      </c>
      <c r="AE835">
        <v>0.33</v>
      </c>
      <c r="AF835">
        <v>2.4866666666666668</v>
      </c>
      <c r="AG835" t="str">
        <f>HYPERLINK("https://finance.naver.com/item/fchart.naver?code=030200", "KT 차트보기")</f>
        <v>KT 차트보기</v>
      </c>
    </row>
    <row r="836" spans="1:33" x14ac:dyDescent="0.3">
      <c r="A836" t="s">
        <v>3371</v>
      </c>
      <c r="B836" t="s">
        <v>34</v>
      </c>
      <c r="C836" t="s">
        <v>3372</v>
      </c>
      <c r="D836">
        <v>9925.6200000000008</v>
      </c>
      <c r="E836" t="s">
        <v>3373</v>
      </c>
      <c r="F836">
        <v>0</v>
      </c>
      <c r="G836">
        <v>0.75</v>
      </c>
      <c r="H836">
        <v>0</v>
      </c>
      <c r="I836">
        <v>0</v>
      </c>
      <c r="J836" t="s">
        <v>3374</v>
      </c>
      <c r="K836">
        <v>8710</v>
      </c>
      <c r="L836">
        <v>8670</v>
      </c>
      <c r="M836">
        <v>-0.46</v>
      </c>
      <c r="N836">
        <v>0.35</v>
      </c>
      <c r="O836">
        <v>0.12</v>
      </c>
      <c r="P836">
        <v>-1.49</v>
      </c>
      <c r="Q836">
        <v>0</v>
      </c>
      <c r="R836">
        <v>0.11</v>
      </c>
      <c r="S836">
        <v>0.46</v>
      </c>
      <c r="T836">
        <v>0.09</v>
      </c>
      <c r="U836">
        <v>0.22</v>
      </c>
      <c r="V836">
        <v>0.24</v>
      </c>
      <c r="W836">
        <v>0.08</v>
      </c>
      <c r="X836">
        <v>7.0000000000000007E-2</v>
      </c>
      <c r="Y836">
        <v>0.17</v>
      </c>
      <c r="Z836">
        <v>3.89</v>
      </c>
      <c r="AA836">
        <v>0.55000000000000004</v>
      </c>
      <c r="AB836">
        <v>6.21</v>
      </c>
      <c r="AC836">
        <v>0</v>
      </c>
      <c r="AD836">
        <v>1.57</v>
      </c>
      <c r="AE836">
        <v>2.71</v>
      </c>
      <c r="AF836">
        <v>2.4883333333333328</v>
      </c>
      <c r="AG836" t="str">
        <f>HYPERLINK("https://finance.naver.com/item/fchart.naver?code=115390", "락앤락 차트보기")</f>
        <v>락앤락 차트보기</v>
      </c>
    </row>
    <row r="837" spans="1:33" x14ac:dyDescent="0.3">
      <c r="A837" t="s">
        <v>3375</v>
      </c>
      <c r="B837" t="s">
        <v>34</v>
      </c>
      <c r="C837" t="s">
        <v>3376</v>
      </c>
      <c r="D837">
        <v>1168764.05</v>
      </c>
      <c r="E837" t="s">
        <v>3377</v>
      </c>
      <c r="F837">
        <v>670.29</v>
      </c>
      <c r="G837">
        <v>12.590000152587891</v>
      </c>
      <c r="H837">
        <v>69</v>
      </c>
      <c r="I837">
        <v>0</v>
      </c>
      <c r="J837" t="s">
        <v>3378</v>
      </c>
      <c r="K837">
        <v>36550</v>
      </c>
      <c r="L837">
        <v>46250</v>
      </c>
      <c r="M837">
        <v>26.54</v>
      </c>
      <c r="N837">
        <v>10.119999999999999</v>
      </c>
      <c r="O837">
        <v>18.18</v>
      </c>
      <c r="P837">
        <v>2.38</v>
      </c>
      <c r="Q837">
        <v>14.1</v>
      </c>
      <c r="R837">
        <v>7.44</v>
      </c>
      <c r="S837">
        <v>-6.64</v>
      </c>
      <c r="T837">
        <v>5.18</v>
      </c>
      <c r="U837">
        <v>4.3499999999999996</v>
      </c>
      <c r="V837">
        <v>3.54</v>
      </c>
      <c r="W837">
        <v>4.1399999999999997</v>
      </c>
      <c r="X837">
        <v>4.29</v>
      </c>
      <c r="Y837">
        <v>2.2200000000000002</v>
      </c>
      <c r="Z837">
        <v>1.95</v>
      </c>
      <c r="AA837">
        <v>4.18</v>
      </c>
      <c r="AB837">
        <v>0.67</v>
      </c>
      <c r="AC837">
        <v>3.41</v>
      </c>
      <c r="AD837">
        <v>1.73</v>
      </c>
      <c r="AE837">
        <v>2.99</v>
      </c>
      <c r="AF837">
        <v>2.4883333333333342</v>
      </c>
      <c r="AG837" t="str">
        <f>HYPERLINK("https://finance.naver.com/item/fchart.naver?code=009420", "한올바이오파마 차트보기")</f>
        <v>한올바이오파마 차트보기</v>
      </c>
    </row>
    <row r="838" spans="1:33" x14ac:dyDescent="0.3">
      <c r="A838" t="s">
        <v>3379</v>
      </c>
      <c r="B838" t="s">
        <v>34</v>
      </c>
      <c r="C838" t="s">
        <v>3380</v>
      </c>
      <c r="D838">
        <v>17750.71</v>
      </c>
      <c r="E838" t="s">
        <v>3381</v>
      </c>
      <c r="F838">
        <v>0</v>
      </c>
      <c r="G838">
        <v>0.28999999165534968</v>
      </c>
      <c r="H838">
        <v>0</v>
      </c>
      <c r="I838">
        <v>2.3900001049041748</v>
      </c>
      <c r="J838" t="s">
        <v>3382</v>
      </c>
      <c r="K838">
        <v>2450</v>
      </c>
      <c r="L838">
        <v>2090</v>
      </c>
      <c r="M838">
        <v>-14.69</v>
      </c>
      <c r="N838">
        <v>-0.95</v>
      </c>
      <c r="O838">
        <v>0.97</v>
      </c>
      <c r="P838">
        <v>-4.12</v>
      </c>
      <c r="Q838">
        <v>-5.79</v>
      </c>
      <c r="R838">
        <v>-7.93</v>
      </c>
      <c r="S838">
        <v>0</v>
      </c>
      <c r="T838">
        <v>1.35</v>
      </c>
      <c r="U838">
        <v>1.55</v>
      </c>
      <c r="V838">
        <v>1.49</v>
      </c>
      <c r="W838">
        <v>2.1800000000000002</v>
      </c>
      <c r="X838">
        <v>0.97</v>
      </c>
      <c r="Y838">
        <v>0.92</v>
      </c>
      <c r="Z838">
        <v>0.7</v>
      </c>
      <c r="AA838">
        <v>0.63</v>
      </c>
      <c r="AB838">
        <v>2.77</v>
      </c>
      <c r="AC838">
        <v>2.66</v>
      </c>
      <c r="AD838">
        <v>8.18</v>
      </c>
      <c r="AE838">
        <v>0</v>
      </c>
      <c r="AF838">
        <v>2.4900000000000002</v>
      </c>
      <c r="AG838" t="str">
        <f>HYPERLINK("https://finance.naver.com/item/fchart.naver?code=024070", "WISCOM 차트보기")</f>
        <v>WISCOM 차트보기</v>
      </c>
    </row>
    <row r="839" spans="1:33" x14ac:dyDescent="0.3">
      <c r="A839" t="s">
        <v>3383</v>
      </c>
      <c r="B839" t="s">
        <v>55</v>
      </c>
      <c r="C839" t="s">
        <v>3384</v>
      </c>
      <c r="D839">
        <v>283828.33</v>
      </c>
      <c r="E839" t="s">
        <v>3385</v>
      </c>
      <c r="F839">
        <v>0</v>
      </c>
      <c r="G839">
        <v>8.2299995422363281</v>
      </c>
      <c r="H839">
        <v>0</v>
      </c>
      <c r="I839">
        <v>0</v>
      </c>
      <c r="J839" t="s">
        <v>3386</v>
      </c>
      <c r="K839">
        <v>5864</v>
      </c>
      <c r="L839">
        <v>5750</v>
      </c>
      <c r="M839">
        <v>-1.94</v>
      </c>
      <c r="N839">
        <v>-7.85</v>
      </c>
      <c r="O839">
        <v>13.76</v>
      </c>
      <c r="P839">
        <v>2.2799999999999998</v>
      </c>
      <c r="Q839">
        <v>10.23</v>
      </c>
      <c r="R839">
        <v>-11.16</v>
      </c>
      <c r="S839">
        <v>-13.98</v>
      </c>
      <c r="T839">
        <v>2.7</v>
      </c>
      <c r="U839">
        <v>4.41</v>
      </c>
      <c r="V839">
        <v>4.08</v>
      </c>
      <c r="W839">
        <v>4.93</v>
      </c>
      <c r="X839">
        <v>6.2</v>
      </c>
      <c r="Y839">
        <v>3.13</v>
      </c>
      <c r="Z839">
        <v>2.91</v>
      </c>
      <c r="AA839">
        <v>3.12</v>
      </c>
      <c r="AB839">
        <v>0.56000000000000005</v>
      </c>
      <c r="AC839">
        <v>2.08</v>
      </c>
      <c r="AD839">
        <v>1.8</v>
      </c>
      <c r="AE839">
        <v>4.47</v>
      </c>
      <c r="AF839">
        <v>2.4900000000000002</v>
      </c>
      <c r="AG839" t="str">
        <f>HYPERLINK("https://finance.naver.com/item/fchart.naver?code=052020", "에스티큐브 차트보기")</f>
        <v>에스티큐브 차트보기</v>
      </c>
    </row>
    <row r="840" spans="1:33" x14ac:dyDescent="0.3">
      <c r="A840" t="s">
        <v>3387</v>
      </c>
      <c r="B840" t="s">
        <v>34</v>
      </c>
      <c r="C840" t="s">
        <v>3388</v>
      </c>
      <c r="D840">
        <v>25353.95</v>
      </c>
      <c r="E840" t="s">
        <v>3389</v>
      </c>
      <c r="F840">
        <v>0</v>
      </c>
      <c r="G840">
        <v>0</v>
      </c>
      <c r="H840">
        <v>0</v>
      </c>
      <c r="I840">
        <v>0</v>
      </c>
      <c r="J840" t="s">
        <v>3390</v>
      </c>
      <c r="K840">
        <v>7400</v>
      </c>
      <c r="L840">
        <v>8330</v>
      </c>
      <c r="M840">
        <v>12.57</v>
      </c>
      <c r="N840">
        <v>22.5</v>
      </c>
      <c r="O840">
        <v>14.15</v>
      </c>
      <c r="P840">
        <v>3.25</v>
      </c>
      <c r="Q840">
        <v>-9.73</v>
      </c>
      <c r="R840">
        <v>2.4900000000000002</v>
      </c>
      <c r="S840">
        <v>-7.13</v>
      </c>
      <c r="T840">
        <v>8.5299999999999994</v>
      </c>
      <c r="U840">
        <v>3.46</v>
      </c>
      <c r="V840">
        <v>2.48</v>
      </c>
      <c r="W840">
        <v>4.8899999999999997</v>
      </c>
      <c r="X840">
        <v>4.16</v>
      </c>
      <c r="Y840">
        <v>1.65</v>
      </c>
      <c r="Z840">
        <v>2.64</v>
      </c>
      <c r="AA840">
        <v>4.09</v>
      </c>
      <c r="AB840">
        <v>1.31</v>
      </c>
      <c r="AC840">
        <v>1.99</v>
      </c>
      <c r="AD840">
        <v>0.6</v>
      </c>
      <c r="AE840">
        <v>4.32</v>
      </c>
      <c r="AF840">
        <v>2.4916666666666671</v>
      </c>
      <c r="AG840" t="str">
        <f>HYPERLINK("https://finance.naver.com/item/fchart.naver?code=003535", "한화투자증권우 차트보기")</f>
        <v>한화투자증권우 차트보기</v>
      </c>
    </row>
    <row r="841" spans="1:33" x14ac:dyDescent="0.3">
      <c r="A841" t="s">
        <v>3391</v>
      </c>
      <c r="B841" t="s">
        <v>34</v>
      </c>
      <c r="C841" t="s">
        <v>3392</v>
      </c>
      <c r="D841">
        <v>463461.62</v>
      </c>
      <c r="E841" t="s">
        <v>3393</v>
      </c>
      <c r="F841">
        <v>24.43</v>
      </c>
      <c r="G841">
        <v>1.389999985694885</v>
      </c>
      <c r="H841">
        <v>123</v>
      </c>
      <c r="I841">
        <v>0</v>
      </c>
      <c r="J841" t="s">
        <v>3394</v>
      </c>
      <c r="K841">
        <v>3590</v>
      </c>
      <c r="L841">
        <v>3005</v>
      </c>
      <c r="M841">
        <v>-16.3</v>
      </c>
      <c r="N841">
        <v>-5.21</v>
      </c>
      <c r="O841">
        <v>-4.63</v>
      </c>
      <c r="P841">
        <v>-1.56</v>
      </c>
      <c r="Q841">
        <v>-16.5</v>
      </c>
      <c r="R841">
        <v>-14.42</v>
      </c>
      <c r="S841">
        <v>10.72</v>
      </c>
      <c r="T841">
        <v>1.64</v>
      </c>
      <c r="U841">
        <v>1.85</v>
      </c>
      <c r="V841">
        <v>2.42</v>
      </c>
      <c r="W841">
        <v>4.24</v>
      </c>
      <c r="X841">
        <v>4.2300000000000004</v>
      </c>
      <c r="Y841">
        <v>8.09</v>
      </c>
      <c r="Z841">
        <v>3.18</v>
      </c>
      <c r="AA841">
        <v>2.5</v>
      </c>
      <c r="AB841">
        <v>0.64</v>
      </c>
      <c r="AC841">
        <v>3.89</v>
      </c>
      <c r="AD841">
        <v>3.41</v>
      </c>
      <c r="AE841">
        <v>1.33</v>
      </c>
      <c r="AF841">
        <v>2.4916666666666671</v>
      </c>
      <c r="AG841" t="str">
        <f>HYPERLINK("https://finance.naver.com/item/fchart.naver?code=011150", "CJ씨푸드 차트보기")</f>
        <v>CJ씨푸드 차트보기</v>
      </c>
    </row>
    <row r="842" spans="1:33" x14ac:dyDescent="0.3">
      <c r="A842" t="s">
        <v>3395</v>
      </c>
      <c r="B842" t="s">
        <v>55</v>
      </c>
      <c r="C842" t="s">
        <v>3396</v>
      </c>
      <c r="D842">
        <v>13407022.24</v>
      </c>
      <c r="E842" t="s">
        <v>3397</v>
      </c>
      <c r="F842">
        <v>242.5</v>
      </c>
      <c r="G842">
        <v>5.7300000190734863</v>
      </c>
      <c r="H842">
        <v>14</v>
      </c>
      <c r="I842">
        <v>1.7699999809265139</v>
      </c>
      <c r="J842" t="s">
        <v>3398</v>
      </c>
      <c r="K842">
        <v>1849</v>
      </c>
      <c r="L842">
        <v>3395</v>
      </c>
      <c r="M842">
        <v>83.61</v>
      </c>
      <c r="N842">
        <v>51.56</v>
      </c>
      <c r="O842">
        <v>14.25</v>
      </c>
      <c r="P842">
        <v>8.1</v>
      </c>
      <c r="Q842">
        <v>6.26</v>
      </c>
      <c r="R842">
        <v>-4.22</v>
      </c>
      <c r="S842">
        <v>-2.29</v>
      </c>
      <c r="T842">
        <v>11.31</v>
      </c>
      <c r="U842">
        <v>7.86</v>
      </c>
      <c r="V842">
        <v>8.4</v>
      </c>
      <c r="W842">
        <v>6.49</v>
      </c>
      <c r="X842">
        <v>1.86</v>
      </c>
      <c r="Y842">
        <v>0.52</v>
      </c>
      <c r="Z842">
        <v>4.5599999999999996</v>
      </c>
      <c r="AA842">
        <v>1.81</v>
      </c>
      <c r="AB842">
        <v>0.96</v>
      </c>
      <c r="AC842">
        <v>0.96</v>
      </c>
      <c r="AD842">
        <v>2.27</v>
      </c>
      <c r="AE842">
        <v>4.4000000000000004</v>
      </c>
      <c r="AF842">
        <v>2.4933333333333332</v>
      </c>
      <c r="AG842" t="str">
        <f>HYPERLINK("https://finance.naver.com/item/fchart.naver?code=225190", "LK삼양 차트보기")</f>
        <v>LK삼양 차트보기</v>
      </c>
    </row>
    <row r="843" spans="1:33" x14ac:dyDescent="0.3">
      <c r="A843" t="s">
        <v>3399</v>
      </c>
      <c r="B843" t="s">
        <v>55</v>
      </c>
      <c r="C843" t="s">
        <v>3400</v>
      </c>
      <c r="D843">
        <v>208871.95</v>
      </c>
      <c r="E843" t="s">
        <v>3401</v>
      </c>
      <c r="F843">
        <v>0</v>
      </c>
      <c r="G843">
        <v>4.25</v>
      </c>
      <c r="H843">
        <v>0</v>
      </c>
      <c r="I843">
        <v>0</v>
      </c>
      <c r="J843" t="s">
        <v>3402</v>
      </c>
      <c r="K843">
        <v>14820</v>
      </c>
      <c r="L843">
        <v>9320</v>
      </c>
      <c r="M843">
        <v>-37.11</v>
      </c>
      <c r="N843">
        <v>5.31</v>
      </c>
      <c r="O843">
        <v>-1.35</v>
      </c>
      <c r="P843">
        <v>-16.350000000000001</v>
      </c>
      <c r="Q843">
        <v>-6.7</v>
      </c>
      <c r="R843">
        <v>2.78</v>
      </c>
      <c r="S843">
        <v>-15.49</v>
      </c>
      <c r="T843">
        <v>3.12</v>
      </c>
      <c r="U843">
        <v>2.74</v>
      </c>
      <c r="V843">
        <v>3.49</v>
      </c>
      <c r="W843">
        <v>6.03</v>
      </c>
      <c r="X843">
        <v>3.79</v>
      </c>
      <c r="Y843">
        <v>2.48</v>
      </c>
      <c r="Z843">
        <v>1.7</v>
      </c>
      <c r="AA843">
        <v>0.49</v>
      </c>
      <c r="AB843">
        <v>4.68</v>
      </c>
      <c r="AC843">
        <v>1.1100000000000001</v>
      </c>
      <c r="AD843">
        <v>0.73</v>
      </c>
      <c r="AE843">
        <v>6.25</v>
      </c>
      <c r="AF843">
        <v>2.4933333333333332</v>
      </c>
      <c r="AG843" t="str">
        <f>HYPERLINK("https://finance.naver.com/item/fchart.naver?code=388870", "파로스아이바이오 차트보기")</f>
        <v>파로스아이바이오 차트보기</v>
      </c>
    </row>
    <row r="844" spans="1:33" x14ac:dyDescent="0.3">
      <c r="A844" t="s">
        <v>3403</v>
      </c>
      <c r="B844" t="s">
        <v>34</v>
      </c>
      <c r="C844" t="s">
        <v>3404</v>
      </c>
      <c r="D844">
        <v>78287.100000000006</v>
      </c>
      <c r="E844" t="s">
        <v>3405</v>
      </c>
      <c r="F844">
        <v>5.09</v>
      </c>
      <c r="G844">
        <v>0.88999998569488525</v>
      </c>
      <c r="H844">
        <v>2850</v>
      </c>
      <c r="I844">
        <v>3.4500000476837158</v>
      </c>
      <c r="J844" t="s">
        <v>3406</v>
      </c>
      <c r="K844">
        <v>22200</v>
      </c>
      <c r="L844">
        <v>14510</v>
      </c>
      <c r="M844">
        <v>-34.64</v>
      </c>
      <c r="N844">
        <v>-4.79</v>
      </c>
      <c r="O844">
        <v>-1.97</v>
      </c>
      <c r="P844">
        <v>0.69</v>
      </c>
      <c r="Q844">
        <v>-17.7</v>
      </c>
      <c r="R844">
        <v>-0.25</v>
      </c>
      <c r="S844">
        <v>-12.96</v>
      </c>
      <c r="T844">
        <v>1.4</v>
      </c>
      <c r="U844">
        <v>2.19</v>
      </c>
      <c r="V844">
        <v>2.08</v>
      </c>
      <c r="W844">
        <v>3.27</v>
      </c>
      <c r="X844">
        <v>2.0699999999999998</v>
      </c>
      <c r="Y844">
        <v>2.71</v>
      </c>
      <c r="Z844">
        <v>3.42</v>
      </c>
      <c r="AA844">
        <v>0.9</v>
      </c>
      <c r="AB844">
        <v>0.33</v>
      </c>
      <c r="AC844">
        <v>5.41</v>
      </c>
      <c r="AD844">
        <v>0.12</v>
      </c>
      <c r="AE844">
        <v>4.78</v>
      </c>
      <c r="AF844">
        <v>2.4933333333333341</v>
      </c>
      <c r="AG844" t="str">
        <f>HYPERLINK("https://finance.naver.com/item/fchart.naver?code=105630", "한세실업 차트보기")</f>
        <v>한세실업 차트보기</v>
      </c>
    </row>
    <row r="845" spans="1:33" x14ac:dyDescent="0.3">
      <c r="A845" t="s">
        <v>3407</v>
      </c>
      <c r="B845" t="s">
        <v>55</v>
      </c>
      <c r="C845" t="s">
        <v>3408</v>
      </c>
      <c r="D845">
        <v>1617911.1</v>
      </c>
      <c r="E845" t="s">
        <v>3409</v>
      </c>
      <c r="F845">
        <v>12.94</v>
      </c>
      <c r="G845">
        <v>1.610000014305115</v>
      </c>
      <c r="H845">
        <v>243</v>
      </c>
      <c r="I845">
        <v>0</v>
      </c>
      <c r="J845" t="s">
        <v>3410</v>
      </c>
      <c r="K845">
        <v>3840</v>
      </c>
      <c r="L845">
        <v>3145</v>
      </c>
      <c r="M845">
        <v>-18.100000000000001</v>
      </c>
      <c r="N845">
        <v>-0.47</v>
      </c>
      <c r="O845">
        <v>16.88</v>
      </c>
      <c r="P845">
        <v>-1.08</v>
      </c>
      <c r="Q845">
        <v>-14.88</v>
      </c>
      <c r="R845">
        <v>1.75</v>
      </c>
      <c r="S845">
        <v>-16.190000000000001</v>
      </c>
      <c r="T845">
        <v>2.3199999999999998</v>
      </c>
      <c r="U845">
        <v>6.28</v>
      </c>
      <c r="V845">
        <v>2.99</v>
      </c>
      <c r="W845">
        <v>5.22</v>
      </c>
      <c r="X845">
        <v>5.77</v>
      </c>
      <c r="Y845">
        <v>1.89</v>
      </c>
      <c r="Z845">
        <v>0.2</v>
      </c>
      <c r="AA845">
        <v>2.69</v>
      </c>
      <c r="AB845">
        <v>0.36</v>
      </c>
      <c r="AC845">
        <v>2.85</v>
      </c>
      <c r="AD845">
        <v>0.3</v>
      </c>
      <c r="AE845">
        <v>8.57</v>
      </c>
      <c r="AF845">
        <v>2.4950000000000001</v>
      </c>
      <c r="AG845" t="str">
        <f>HYPERLINK("https://finance.naver.com/item/fchart.naver?code=376180", "피코그램 차트보기")</f>
        <v>피코그램 차트보기</v>
      </c>
    </row>
    <row r="846" spans="1:33" x14ac:dyDescent="0.3">
      <c r="A846" t="s">
        <v>3411</v>
      </c>
      <c r="B846" t="s">
        <v>55</v>
      </c>
      <c r="C846" t="s">
        <v>3412</v>
      </c>
      <c r="D846">
        <v>17782.759999999998</v>
      </c>
      <c r="E846" t="s">
        <v>3413</v>
      </c>
      <c r="F846">
        <v>0</v>
      </c>
      <c r="G846">
        <v>0.34999999403953552</v>
      </c>
      <c r="H846">
        <v>0</v>
      </c>
      <c r="I846">
        <v>0</v>
      </c>
      <c r="J846" t="s">
        <v>3414</v>
      </c>
      <c r="K846">
        <v>2675</v>
      </c>
      <c r="L846">
        <v>2795</v>
      </c>
      <c r="M846">
        <v>4.49</v>
      </c>
      <c r="N846">
        <v>-3.45</v>
      </c>
      <c r="O846">
        <v>-7.94</v>
      </c>
      <c r="P846">
        <v>8.0299999999999994</v>
      </c>
      <c r="Q846">
        <v>13.92</v>
      </c>
      <c r="R846">
        <v>14.11</v>
      </c>
      <c r="S846">
        <v>-4.7</v>
      </c>
      <c r="T846">
        <v>2.0699999999999998</v>
      </c>
      <c r="U846">
        <v>1.75</v>
      </c>
      <c r="V846">
        <v>3.57</v>
      </c>
      <c r="W846">
        <v>5.54</v>
      </c>
      <c r="X846">
        <v>7.26</v>
      </c>
      <c r="Y846">
        <v>2.2799999999999998</v>
      </c>
      <c r="Z846">
        <v>1.67</v>
      </c>
      <c r="AA846">
        <v>4.54</v>
      </c>
      <c r="AB846">
        <v>2.25</v>
      </c>
      <c r="AC846">
        <v>2.5099999999999998</v>
      </c>
      <c r="AD846">
        <v>1.94</v>
      </c>
      <c r="AE846">
        <v>2.06</v>
      </c>
      <c r="AF846">
        <v>2.4950000000000001</v>
      </c>
      <c r="AG846" t="str">
        <f>HYPERLINK("https://finance.naver.com/item/fchart.naver?code=115570", "스타플렉스 차트보기")</f>
        <v>스타플렉스 차트보기</v>
      </c>
    </row>
    <row r="847" spans="1:33" x14ac:dyDescent="0.3">
      <c r="A847" t="s">
        <v>3415</v>
      </c>
      <c r="B847" t="s">
        <v>55</v>
      </c>
      <c r="C847" t="s">
        <v>3416</v>
      </c>
      <c r="D847">
        <v>121985.19</v>
      </c>
      <c r="E847" t="s">
        <v>3417</v>
      </c>
      <c r="F847">
        <v>5.12</v>
      </c>
      <c r="G847">
        <v>0.89999997615814209</v>
      </c>
      <c r="H847">
        <v>1002</v>
      </c>
      <c r="I847">
        <v>1.950000047683716</v>
      </c>
      <c r="J847" t="s">
        <v>3418</v>
      </c>
      <c r="K847">
        <v>6690</v>
      </c>
      <c r="L847">
        <v>5130</v>
      </c>
      <c r="M847">
        <v>-23.32</v>
      </c>
      <c r="N847">
        <v>4.4800000000000004</v>
      </c>
      <c r="O847">
        <v>-12.85</v>
      </c>
      <c r="P847">
        <v>0.91</v>
      </c>
      <c r="Q847">
        <v>-9.2200000000000006</v>
      </c>
      <c r="R847">
        <v>-11.92</v>
      </c>
      <c r="S847">
        <v>-1.63</v>
      </c>
      <c r="T847">
        <v>2.38</v>
      </c>
      <c r="U847">
        <v>2.23</v>
      </c>
      <c r="V847">
        <v>3.17</v>
      </c>
      <c r="W847">
        <v>4.42</v>
      </c>
      <c r="X847">
        <v>2.7</v>
      </c>
      <c r="Y847">
        <v>2.99</v>
      </c>
      <c r="Z847">
        <v>1.88</v>
      </c>
      <c r="AA847">
        <v>5.76</v>
      </c>
      <c r="AB847">
        <v>0.28999999999999998</v>
      </c>
      <c r="AC847">
        <v>2.09</v>
      </c>
      <c r="AD847">
        <v>4.41</v>
      </c>
      <c r="AE847">
        <v>0.55000000000000004</v>
      </c>
      <c r="AF847">
        <v>2.496666666666667</v>
      </c>
      <c r="AG847" t="str">
        <f>HYPERLINK("https://finance.naver.com/item/fchart.naver?code=142210", "유니트론텍 차트보기")</f>
        <v>유니트론텍 차트보기</v>
      </c>
    </row>
    <row r="848" spans="1:33" x14ac:dyDescent="0.3">
      <c r="A848" t="s">
        <v>3419</v>
      </c>
      <c r="B848" t="s">
        <v>55</v>
      </c>
      <c r="C848" t="s">
        <v>3420</v>
      </c>
      <c r="D848">
        <v>2620144.9500000002</v>
      </c>
      <c r="E848" t="s">
        <v>3421</v>
      </c>
      <c r="F848">
        <v>0</v>
      </c>
      <c r="G848">
        <v>3.4300000667572021</v>
      </c>
      <c r="H848">
        <v>0</v>
      </c>
      <c r="I848">
        <v>0</v>
      </c>
      <c r="J848" t="s">
        <v>3422</v>
      </c>
      <c r="K848">
        <v>3950</v>
      </c>
      <c r="L848">
        <v>2940</v>
      </c>
      <c r="M848">
        <v>-25.57</v>
      </c>
      <c r="N848">
        <v>-8.1300000000000008</v>
      </c>
      <c r="O848">
        <v>12</v>
      </c>
      <c r="P848">
        <v>4.21</v>
      </c>
      <c r="Q848">
        <v>-6.25</v>
      </c>
      <c r="R848">
        <v>10.76</v>
      </c>
      <c r="S848">
        <v>-9.2100000000000009</v>
      </c>
      <c r="T848">
        <v>2.14</v>
      </c>
      <c r="U848">
        <v>7.23</v>
      </c>
      <c r="V848">
        <v>3.13</v>
      </c>
      <c r="W848">
        <v>3.77</v>
      </c>
      <c r="X848">
        <v>5.71</v>
      </c>
      <c r="Y848">
        <v>1.99</v>
      </c>
      <c r="Z848">
        <v>3.8</v>
      </c>
      <c r="AA848">
        <v>1.66</v>
      </c>
      <c r="AB848">
        <v>1.35</v>
      </c>
      <c r="AC848">
        <v>1.66</v>
      </c>
      <c r="AD848">
        <v>1.88</v>
      </c>
      <c r="AE848">
        <v>4.63</v>
      </c>
      <c r="AF848">
        <v>2.496666666666667</v>
      </c>
      <c r="AG848" t="str">
        <f>HYPERLINK("https://finance.naver.com/item/fchart.naver?code=024850", "HLB이노베이션 차트보기")</f>
        <v>HLB이노베이션 차트보기</v>
      </c>
    </row>
    <row r="849" spans="1:33" x14ac:dyDescent="0.3">
      <c r="A849" t="s">
        <v>3423</v>
      </c>
      <c r="B849" t="s">
        <v>55</v>
      </c>
      <c r="C849" t="s">
        <v>3424</v>
      </c>
      <c r="D849">
        <v>67530.95</v>
      </c>
      <c r="E849" t="s">
        <v>3425</v>
      </c>
      <c r="F849">
        <v>89.17</v>
      </c>
      <c r="G849">
        <v>1.049999952316284</v>
      </c>
      <c r="H849">
        <v>48</v>
      </c>
      <c r="I849">
        <v>1.169999957084656</v>
      </c>
      <c r="J849" t="s">
        <v>3426</v>
      </c>
      <c r="K849">
        <v>5930</v>
      </c>
      <c r="L849">
        <v>4280</v>
      </c>
      <c r="M849">
        <v>-27.82</v>
      </c>
      <c r="N849">
        <v>-2.06</v>
      </c>
      <c r="O849">
        <v>-0.45</v>
      </c>
      <c r="P849">
        <v>4.95</v>
      </c>
      <c r="Q849">
        <v>-14.97</v>
      </c>
      <c r="R849">
        <v>-8.42</v>
      </c>
      <c r="S849">
        <v>-15.04</v>
      </c>
      <c r="T849">
        <v>2.1800000000000002</v>
      </c>
      <c r="U849">
        <v>1.9</v>
      </c>
      <c r="V849">
        <v>2.34</v>
      </c>
      <c r="W849">
        <v>4.7300000000000004</v>
      </c>
      <c r="X849">
        <v>1.91</v>
      </c>
      <c r="Y849">
        <v>3.66</v>
      </c>
      <c r="Z849">
        <v>0.94</v>
      </c>
      <c r="AA849">
        <v>0.24</v>
      </c>
      <c r="AB849">
        <v>2.12</v>
      </c>
      <c r="AC849">
        <v>3.16</v>
      </c>
      <c r="AD849">
        <v>4.41</v>
      </c>
      <c r="AE849">
        <v>4.1100000000000003</v>
      </c>
      <c r="AF849">
        <v>2.496666666666667</v>
      </c>
      <c r="AG849" t="str">
        <f>HYPERLINK("https://finance.naver.com/item/fchart.naver?code=159580", "제로투세븐 차트보기")</f>
        <v>제로투세븐 차트보기</v>
      </c>
    </row>
    <row r="850" spans="1:33" x14ac:dyDescent="0.3">
      <c r="A850" t="s">
        <v>3427</v>
      </c>
      <c r="B850" t="s">
        <v>55</v>
      </c>
      <c r="C850" t="s">
        <v>3428</v>
      </c>
      <c r="D850">
        <v>1604370.14</v>
      </c>
      <c r="E850" t="s">
        <v>3429</v>
      </c>
      <c r="F850">
        <v>11.76</v>
      </c>
      <c r="G850">
        <v>3.8900001049041748</v>
      </c>
      <c r="H850">
        <v>432</v>
      </c>
      <c r="I850">
        <v>0</v>
      </c>
      <c r="J850" t="s">
        <v>3430</v>
      </c>
      <c r="K850">
        <v>9240</v>
      </c>
      <c r="L850">
        <v>5080</v>
      </c>
      <c r="M850">
        <v>-45.02</v>
      </c>
      <c r="N850">
        <v>0.2</v>
      </c>
      <c r="O850">
        <v>-3.15</v>
      </c>
      <c r="P850">
        <v>-2.64</v>
      </c>
      <c r="Q850">
        <v>-14.71</v>
      </c>
      <c r="R850">
        <v>-21.54</v>
      </c>
      <c r="S850">
        <v>-7.81</v>
      </c>
      <c r="T850">
        <v>2.84</v>
      </c>
      <c r="U850">
        <v>2.8</v>
      </c>
      <c r="V850">
        <v>4.79</v>
      </c>
      <c r="W850">
        <v>6.78</v>
      </c>
      <c r="X850">
        <v>3.08</v>
      </c>
      <c r="Y850">
        <v>1.91</v>
      </c>
      <c r="Z850">
        <v>7.0000000000000007E-2</v>
      </c>
      <c r="AA850">
        <v>1.1200000000000001</v>
      </c>
      <c r="AB850">
        <v>0.55000000000000004</v>
      </c>
      <c r="AC850">
        <v>2.17</v>
      </c>
      <c r="AD850">
        <v>6.99</v>
      </c>
      <c r="AE850">
        <v>4.09</v>
      </c>
      <c r="AF850">
        <v>2.498333333333334</v>
      </c>
      <c r="AG850" t="str">
        <f>HYPERLINK("https://finance.naver.com/item/fchart.naver?code=041020", "폴라리스오피스 차트보기")</f>
        <v>폴라리스오피스 차트보기</v>
      </c>
    </row>
    <row r="851" spans="1:33" x14ac:dyDescent="0.3">
      <c r="A851" t="s">
        <v>3431</v>
      </c>
      <c r="B851" t="s">
        <v>55</v>
      </c>
      <c r="C851" t="s">
        <v>3432</v>
      </c>
      <c r="D851">
        <v>44290.33</v>
      </c>
      <c r="E851" t="s">
        <v>3433</v>
      </c>
      <c r="F851">
        <v>6.62</v>
      </c>
      <c r="G851">
        <v>0.69999998807907104</v>
      </c>
      <c r="H851">
        <v>758</v>
      </c>
      <c r="I851">
        <v>3.9800000190734859</v>
      </c>
      <c r="J851" t="s">
        <v>3434</v>
      </c>
      <c r="K851">
        <v>5790</v>
      </c>
      <c r="L851">
        <v>5020</v>
      </c>
      <c r="M851">
        <v>-13.3</v>
      </c>
      <c r="N851">
        <v>0.4</v>
      </c>
      <c r="O851">
        <v>-2.87</v>
      </c>
      <c r="P851">
        <v>3.09</v>
      </c>
      <c r="Q851">
        <v>-4.8099999999999996</v>
      </c>
      <c r="R851">
        <v>-9.3699999999999992</v>
      </c>
      <c r="S851">
        <v>4.01</v>
      </c>
      <c r="T851">
        <v>1.07</v>
      </c>
      <c r="U851">
        <v>1.06</v>
      </c>
      <c r="V851">
        <v>2.2000000000000002</v>
      </c>
      <c r="W851">
        <v>2.61</v>
      </c>
      <c r="X851">
        <v>1.35</v>
      </c>
      <c r="Y851">
        <v>2.2999999999999998</v>
      </c>
      <c r="Z851">
        <v>0.37</v>
      </c>
      <c r="AA851">
        <v>2.71</v>
      </c>
      <c r="AB851">
        <v>1.4</v>
      </c>
      <c r="AC851">
        <v>1.84</v>
      </c>
      <c r="AD851">
        <v>6.94</v>
      </c>
      <c r="AE851">
        <v>1.74</v>
      </c>
      <c r="AF851">
        <v>2.5</v>
      </c>
      <c r="AG851" t="str">
        <f>HYPERLINK("https://finance.naver.com/item/fchart.naver?code=036640", "HRS 차트보기")</f>
        <v>HRS 차트보기</v>
      </c>
    </row>
    <row r="852" spans="1:33" x14ac:dyDescent="0.3">
      <c r="A852" t="s">
        <v>3435</v>
      </c>
      <c r="B852" t="s">
        <v>34</v>
      </c>
      <c r="C852" t="s">
        <v>3436</v>
      </c>
      <c r="D852">
        <v>271.48</v>
      </c>
      <c r="E852" t="s">
        <v>3437</v>
      </c>
      <c r="F852">
        <v>0</v>
      </c>
      <c r="G852">
        <v>0</v>
      </c>
      <c r="H852">
        <v>0</v>
      </c>
      <c r="I852">
        <v>1.5099999904632571</v>
      </c>
      <c r="J852" t="s">
        <v>3438</v>
      </c>
      <c r="K852">
        <v>15180</v>
      </c>
      <c r="L852">
        <v>11570</v>
      </c>
      <c r="M852">
        <v>-23.78</v>
      </c>
      <c r="N852">
        <v>-1.53</v>
      </c>
      <c r="O852">
        <v>-3.14</v>
      </c>
      <c r="P852">
        <v>-3.41</v>
      </c>
      <c r="Q852">
        <v>-1.02</v>
      </c>
      <c r="R852">
        <v>-8.85</v>
      </c>
      <c r="S852">
        <v>-6.56</v>
      </c>
      <c r="T852">
        <v>1.3</v>
      </c>
      <c r="U852">
        <v>1.1399999999999999</v>
      </c>
      <c r="V852">
        <v>1.05</v>
      </c>
      <c r="W852">
        <v>2.1800000000000002</v>
      </c>
      <c r="X852">
        <v>2.4500000000000002</v>
      </c>
      <c r="Y852">
        <v>1.75</v>
      </c>
      <c r="Z852">
        <v>1.18</v>
      </c>
      <c r="AA852">
        <v>2.75</v>
      </c>
      <c r="AB852">
        <v>3.25</v>
      </c>
      <c r="AC852">
        <v>0.47</v>
      </c>
      <c r="AD852">
        <v>3.61</v>
      </c>
      <c r="AE852">
        <v>3.75</v>
      </c>
      <c r="AF852">
        <v>2.501666666666666</v>
      </c>
      <c r="AG852" t="str">
        <f>HYPERLINK("https://finance.naver.com/item/fchart.naver?code=007575", "일양약품우 차트보기")</f>
        <v>일양약품우 차트보기</v>
      </c>
    </row>
    <row r="853" spans="1:33" x14ac:dyDescent="0.3">
      <c r="A853" t="s">
        <v>3439</v>
      </c>
      <c r="B853" t="s">
        <v>55</v>
      </c>
      <c r="C853" t="s">
        <v>3440</v>
      </c>
      <c r="D853">
        <v>9319.48</v>
      </c>
      <c r="E853" t="s">
        <v>3441</v>
      </c>
      <c r="F853">
        <v>34.200000000000003</v>
      </c>
      <c r="G853">
        <v>0.61000001430511475</v>
      </c>
      <c r="H853">
        <v>54</v>
      </c>
      <c r="I853">
        <v>5.4099998474121094</v>
      </c>
      <c r="J853" t="s">
        <v>3442</v>
      </c>
      <c r="K853">
        <v>2005</v>
      </c>
      <c r="L853">
        <v>1847</v>
      </c>
      <c r="M853">
        <v>-7.88</v>
      </c>
      <c r="N853">
        <v>1.37</v>
      </c>
      <c r="O853">
        <v>7.19</v>
      </c>
      <c r="P853">
        <v>-2.64</v>
      </c>
      <c r="Q853">
        <v>-10.5</v>
      </c>
      <c r="R853">
        <v>-0.93</v>
      </c>
      <c r="S853">
        <v>-1.1299999999999999</v>
      </c>
      <c r="T853">
        <v>1.55</v>
      </c>
      <c r="U853">
        <v>0.86</v>
      </c>
      <c r="V853">
        <v>1.56</v>
      </c>
      <c r="W853">
        <v>3.66</v>
      </c>
      <c r="X853">
        <v>3.03</v>
      </c>
      <c r="Y853">
        <v>1.25</v>
      </c>
      <c r="Z853">
        <v>0.88</v>
      </c>
      <c r="AA853">
        <v>8.36</v>
      </c>
      <c r="AB853">
        <v>1.69</v>
      </c>
      <c r="AC853">
        <v>2.87</v>
      </c>
      <c r="AD853">
        <v>0.31</v>
      </c>
      <c r="AE853">
        <v>0.9</v>
      </c>
      <c r="AF853">
        <v>2.5016666666666669</v>
      </c>
      <c r="AG853" t="str">
        <f>HYPERLINK("https://finance.naver.com/item/fchart.naver?code=026040", "제이에스티나 차트보기")</f>
        <v>제이에스티나 차트보기</v>
      </c>
    </row>
    <row r="854" spans="1:33" x14ac:dyDescent="0.3">
      <c r="A854" t="s">
        <v>3443</v>
      </c>
      <c r="B854" t="s">
        <v>55</v>
      </c>
      <c r="C854" t="s">
        <v>3444</v>
      </c>
      <c r="D854">
        <v>61675.57</v>
      </c>
      <c r="E854" t="s">
        <v>3445</v>
      </c>
      <c r="F854">
        <v>67.709999999999994</v>
      </c>
      <c r="G854">
        <v>2.9300000667572021</v>
      </c>
      <c r="H854">
        <v>231</v>
      </c>
      <c r="I854">
        <v>0</v>
      </c>
      <c r="J854" t="s">
        <v>3446</v>
      </c>
      <c r="K854">
        <v>26750</v>
      </c>
      <c r="L854">
        <v>15640</v>
      </c>
      <c r="M854">
        <v>-41.53</v>
      </c>
      <c r="N854">
        <v>2.56</v>
      </c>
      <c r="O854">
        <v>-10.17</v>
      </c>
      <c r="P854">
        <v>-4.03</v>
      </c>
      <c r="Q854">
        <v>-10.42</v>
      </c>
      <c r="R854">
        <v>-4.1500000000000004</v>
      </c>
      <c r="S854">
        <v>-14.34</v>
      </c>
      <c r="T854">
        <v>3.39</v>
      </c>
      <c r="U854">
        <v>2.46</v>
      </c>
      <c r="V854">
        <v>4.62</v>
      </c>
      <c r="W854">
        <v>5.18</v>
      </c>
      <c r="X854">
        <v>3.4</v>
      </c>
      <c r="Y854">
        <v>2.38</v>
      </c>
      <c r="Z854">
        <v>0.76</v>
      </c>
      <c r="AA854">
        <v>4.13</v>
      </c>
      <c r="AB854">
        <v>0.87</v>
      </c>
      <c r="AC854">
        <v>2.0099999999999998</v>
      </c>
      <c r="AD854">
        <v>1.22</v>
      </c>
      <c r="AE854">
        <v>6.03</v>
      </c>
      <c r="AF854">
        <v>2.503333333333333</v>
      </c>
      <c r="AG854" t="str">
        <f>HYPERLINK("https://finance.naver.com/item/fchart.naver?code=270660", "에브리봇 차트보기")</f>
        <v>에브리봇 차트보기</v>
      </c>
    </row>
    <row r="855" spans="1:33" x14ac:dyDescent="0.3">
      <c r="A855" t="s">
        <v>3447</v>
      </c>
      <c r="B855" t="s">
        <v>55</v>
      </c>
      <c r="C855" t="s">
        <v>3448</v>
      </c>
      <c r="D855">
        <v>61146.9</v>
      </c>
      <c r="E855" t="s">
        <v>3449</v>
      </c>
      <c r="F855">
        <v>0</v>
      </c>
      <c r="G855">
        <v>8.869999885559082</v>
      </c>
      <c r="H855">
        <v>0</v>
      </c>
      <c r="I855">
        <v>0</v>
      </c>
      <c r="J855" t="s">
        <v>3450</v>
      </c>
      <c r="K855">
        <v>3395</v>
      </c>
      <c r="L855">
        <v>3495</v>
      </c>
      <c r="M855">
        <v>2.95</v>
      </c>
      <c r="N855">
        <v>-13.7</v>
      </c>
      <c r="O855">
        <v>7.66</v>
      </c>
      <c r="P855">
        <v>1.1399999999999999</v>
      </c>
      <c r="Q855">
        <v>-5.66</v>
      </c>
      <c r="R855">
        <v>34.69</v>
      </c>
      <c r="S855">
        <v>-0.16</v>
      </c>
      <c r="T855">
        <v>3.26</v>
      </c>
      <c r="U855">
        <v>2.19</v>
      </c>
      <c r="V855">
        <v>1.97</v>
      </c>
      <c r="W855">
        <v>3.81</v>
      </c>
      <c r="X855">
        <v>6.75</v>
      </c>
      <c r="Y855">
        <v>1.29</v>
      </c>
      <c r="Z855">
        <v>4.2</v>
      </c>
      <c r="AA855">
        <v>3.5</v>
      </c>
      <c r="AB855">
        <v>0.57999999999999996</v>
      </c>
      <c r="AC855">
        <v>1.49</v>
      </c>
      <c r="AD855">
        <v>5.14</v>
      </c>
      <c r="AE855">
        <v>0.12</v>
      </c>
      <c r="AF855">
        <v>2.5049999999999999</v>
      </c>
      <c r="AG855" t="str">
        <f>HYPERLINK("https://finance.naver.com/item/fchart.naver?code=092190", "서울바이오시스 차트보기")</f>
        <v>서울바이오시스 차트보기</v>
      </c>
    </row>
    <row r="856" spans="1:33" x14ac:dyDescent="0.3">
      <c r="A856" t="s">
        <v>3451</v>
      </c>
      <c r="B856" t="s">
        <v>55</v>
      </c>
      <c r="C856" t="s">
        <v>3452</v>
      </c>
      <c r="D856">
        <v>89870.67</v>
      </c>
      <c r="E856" t="s">
        <v>3453</v>
      </c>
      <c r="F856">
        <v>20.94</v>
      </c>
      <c r="G856">
        <v>1.679999947547913</v>
      </c>
      <c r="H856">
        <v>467</v>
      </c>
      <c r="I856">
        <v>0.40999999642372131</v>
      </c>
      <c r="J856" t="s">
        <v>3454</v>
      </c>
      <c r="K856">
        <v>10330</v>
      </c>
      <c r="L856">
        <v>9780</v>
      </c>
      <c r="M856">
        <v>-5.32</v>
      </c>
      <c r="N856">
        <v>-9.61</v>
      </c>
      <c r="O856">
        <v>-2.04</v>
      </c>
      <c r="P856">
        <v>4.59</v>
      </c>
      <c r="Q856">
        <v>-20.149999999999999</v>
      </c>
      <c r="R856">
        <v>-23.12</v>
      </c>
      <c r="S856">
        <v>-3.15</v>
      </c>
      <c r="T856">
        <v>4.18</v>
      </c>
      <c r="U856">
        <v>2.87</v>
      </c>
      <c r="V856">
        <v>3.62</v>
      </c>
      <c r="W856">
        <v>4.93</v>
      </c>
      <c r="X856">
        <v>3.71</v>
      </c>
      <c r="Y856">
        <v>7.03</v>
      </c>
      <c r="Z856">
        <v>2.2999999999999998</v>
      </c>
      <c r="AA856">
        <v>0.71</v>
      </c>
      <c r="AB856">
        <v>1.27</v>
      </c>
      <c r="AC856">
        <v>4.09</v>
      </c>
      <c r="AD856">
        <v>6.23</v>
      </c>
      <c r="AE856">
        <v>0.45</v>
      </c>
      <c r="AF856">
        <v>2.5083333333333329</v>
      </c>
      <c r="AG856" t="str">
        <f>HYPERLINK("https://finance.naver.com/item/fchart.naver?code=086710", "선진뷰티사이언스 차트보기")</f>
        <v>선진뷰티사이언스 차트보기</v>
      </c>
    </row>
    <row r="857" spans="1:33" x14ac:dyDescent="0.3">
      <c r="A857" t="s">
        <v>3455</v>
      </c>
      <c r="B857" t="s">
        <v>34</v>
      </c>
      <c r="C857" t="s">
        <v>3456</v>
      </c>
      <c r="D857">
        <v>42496.1</v>
      </c>
      <c r="E857" t="s">
        <v>3457</v>
      </c>
      <c r="F857">
        <v>198.33</v>
      </c>
      <c r="G857">
        <v>1.9900000095367429</v>
      </c>
      <c r="H857">
        <v>6</v>
      </c>
      <c r="I857">
        <v>0</v>
      </c>
      <c r="J857" t="s">
        <v>3458</v>
      </c>
      <c r="K857">
        <v>1564</v>
      </c>
      <c r="L857">
        <v>1190</v>
      </c>
      <c r="M857">
        <v>-23.91</v>
      </c>
      <c r="N857">
        <v>-1.57</v>
      </c>
      <c r="O857">
        <v>-1.39</v>
      </c>
      <c r="P857">
        <v>-2.06</v>
      </c>
      <c r="Q857">
        <v>-3.83</v>
      </c>
      <c r="R857">
        <v>0.31</v>
      </c>
      <c r="S857">
        <v>-11.5</v>
      </c>
      <c r="T857">
        <v>1.38</v>
      </c>
      <c r="U857">
        <v>0.76</v>
      </c>
      <c r="V857">
        <v>1.22</v>
      </c>
      <c r="W857">
        <v>1.53</v>
      </c>
      <c r="X857">
        <v>2.39</v>
      </c>
      <c r="Y857">
        <v>1.48</v>
      </c>
      <c r="Z857">
        <v>1.1399999999999999</v>
      </c>
      <c r="AA857">
        <v>1.83</v>
      </c>
      <c r="AB857">
        <v>1.69</v>
      </c>
      <c r="AC857">
        <v>2.5</v>
      </c>
      <c r="AD857">
        <v>0.13</v>
      </c>
      <c r="AE857">
        <v>7.77</v>
      </c>
      <c r="AF857">
        <v>2.5099999999999998</v>
      </c>
      <c r="AG857" t="str">
        <f>HYPERLINK("https://finance.naver.com/item/fchart.naver?code=010580", "에스엠벡셀 차트보기")</f>
        <v>에스엠벡셀 차트보기</v>
      </c>
    </row>
    <row r="858" spans="1:33" x14ac:dyDescent="0.3">
      <c r="A858" t="s">
        <v>3459</v>
      </c>
      <c r="B858" t="s">
        <v>55</v>
      </c>
      <c r="C858" t="s">
        <v>3460</v>
      </c>
      <c r="D858">
        <v>13135.81</v>
      </c>
      <c r="E858" t="s">
        <v>3461</v>
      </c>
      <c r="F858">
        <v>20.05</v>
      </c>
      <c r="G858">
        <v>1.0099999904632571</v>
      </c>
      <c r="H858">
        <v>189</v>
      </c>
      <c r="I858">
        <v>0</v>
      </c>
      <c r="J858" t="s">
        <v>3462</v>
      </c>
      <c r="K858">
        <v>4390</v>
      </c>
      <c r="L858">
        <v>3790</v>
      </c>
      <c r="M858">
        <v>-13.67</v>
      </c>
      <c r="N858">
        <v>-1.94</v>
      </c>
      <c r="O858">
        <v>-4.34</v>
      </c>
      <c r="P858">
        <v>0.38</v>
      </c>
      <c r="Q858">
        <v>0.25</v>
      </c>
      <c r="R858">
        <v>-2.44</v>
      </c>
      <c r="S858">
        <v>-5.74</v>
      </c>
      <c r="T858">
        <v>0.39</v>
      </c>
      <c r="U858">
        <v>1.1399999999999999</v>
      </c>
      <c r="V858">
        <v>0.73</v>
      </c>
      <c r="W858">
        <v>1.67</v>
      </c>
      <c r="X858">
        <v>1.62</v>
      </c>
      <c r="Y858">
        <v>1.4</v>
      </c>
      <c r="Z858">
        <v>4.97</v>
      </c>
      <c r="AA858">
        <v>3.81</v>
      </c>
      <c r="AB858">
        <v>0.52</v>
      </c>
      <c r="AC858">
        <v>0.15</v>
      </c>
      <c r="AD858">
        <v>1.51</v>
      </c>
      <c r="AE858">
        <v>4.0999999999999996</v>
      </c>
      <c r="AF858">
        <v>2.5099999999999998</v>
      </c>
      <c r="AG858" t="str">
        <f>HYPERLINK("https://finance.naver.com/item/fchart.naver?code=049550", "잉크테크 차트보기")</f>
        <v>잉크테크 차트보기</v>
      </c>
    </row>
    <row r="859" spans="1:33" x14ac:dyDescent="0.3">
      <c r="A859" t="s">
        <v>3463</v>
      </c>
      <c r="B859" t="s">
        <v>55</v>
      </c>
      <c r="C859" t="s">
        <v>3464</v>
      </c>
      <c r="D859">
        <v>29292</v>
      </c>
      <c r="E859" t="s">
        <v>3465</v>
      </c>
      <c r="F859">
        <v>3.26</v>
      </c>
      <c r="G859">
        <v>0.27000001072883612</v>
      </c>
      <c r="H859">
        <v>3011</v>
      </c>
      <c r="I859">
        <v>2.5499999523162842</v>
      </c>
      <c r="J859" t="s">
        <v>3466</v>
      </c>
      <c r="K859">
        <v>11070</v>
      </c>
      <c r="L859">
        <v>9820</v>
      </c>
      <c r="M859">
        <v>-11.29</v>
      </c>
      <c r="N859">
        <v>-1.9</v>
      </c>
      <c r="O859">
        <v>0.41</v>
      </c>
      <c r="P859">
        <v>-0.3</v>
      </c>
      <c r="Q859">
        <v>-13.89</v>
      </c>
      <c r="R859">
        <v>-9.39</v>
      </c>
      <c r="S859">
        <v>8.41</v>
      </c>
      <c r="T859">
        <v>0.7</v>
      </c>
      <c r="U859">
        <v>1.2</v>
      </c>
      <c r="V859">
        <v>1.51</v>
      </c>
      <c r="W859">
        <v>3.91</v>
      </c>
      <c r="X859">
        <v>1.81</v>
      </c>
      <c r="Y859">
        <v>2.74</v>
      </c>
      <c r="Z859">
        <v>2.71</v>
      </c>
      <c r="AA859">
        <v>0.34</v>
      </c>
      <c r="AB859">
        <v>0.2</v>
      </c>
      <c r="AC859">
        <v>3.55</v>
      </c>
      <c r="AD859">
        <v>5.19</v>
      </c>
      <c r="AE859">
        <v>3.07</v>
      </c>
      <c r="AF859">
        <v>2.5099999999999998</v>
      </c>
      <c r="AG859" t="str">
        <f>HYPERLINK("https://finance.naver.com/item/fchart.naver?code=043370", "피에이치에이 차트보기")</f>
        <v>피에이치에이 차트보기</v>
      </c>
    </row>
    <row r="860" spans="1:33" x14ac:dyDescent="0.3">
      <c r="A860" t="s">
        <v>3467</v>
      </c>
      <c r="B860" t="s">
        <v>34</v>
      </c>
      <c r="C860" t="s">
        <v>3468</v>
      </c>
      <c r="D860">
        <v>8061.14</v>
      </c>
      <c r="E860" t="s">
        <v>3469</v>
      </c>
      <c r="F860">
        <v>34.53</v>
      </c>
      <c r="G860">
        <v>0.31999999284744263</v>
      </c>
      <c r="H860">
        <v>921</v>
      </c>
      <c r="I860">
        <v>3.7699999809265141</v>
      </c>
      <c r="J860" t="s">
        <v>3470</v>
      </c>
      <c r="K860">
        <v>37550</v>
      </c>
      <c r="L860">
        <v>31800</v>
      </c>
      <c r="M860">
        <v>-15.31</v>
      </c>
      <c r="N860">
        <v>-2.2999999999999998</v>
      </c>
      <c r="O860">
        <v>-1.34</v>
      </c>
      <c r="P860">
        <v>3.47</v>
      </c>
      <c r="Q860">
        <v>-8.26</v>
      </c>
      <c r="R860">
        <v>-8.0399999999999991</v>
      </c>
      <c r="S860">
        <v>11.75</v>
      </c>
      <c r="T860">
        <v>1.45</v>
      </c>
      <c r="U860">
        <v>1.83</v>
      </c>
      <c r="V860">
        <v>1.96</v>
      </c>
      <c r="W860">
        <v>2.64</v>
      </c>
      <c r="X860">
        <v>1.72</v>
      </c>
      <c r="Y860">
        <v>3.7</v>
      </c>
      <c r="Z860">
        <v>1.59</v>
      </c>
      <c r="AA860">
        <v>0.73</v>
      </c>
      <c r="AB860">
        <v>1.77</v>
      </c>
      <c r="AC860">
        <v>3.13</v>
      </c>
      <c r="AD860">
        <v>4.67</v>
      </c>
      <c r="AE860">
        <v>3.18</v>
      </c>
      <c r="AF860">
        <v>2.5116666666666672</v>
      </c>
      <c r="AG860" t="str">
        <f>HYPERLINK("https://finance.naver.com/item/fchart.naver?code=007690", "국도화학 차트보기")</f>
        <v>국도화학 차트보기</v>
      </c>
    </row>
    <row r="861" spans="1:33" x14ac:dyDescent="0.3">
      <c r="A861" t="s">
        <v>3471</v>
      </c>
      <c r="B861" t="s">
        <v>34</v>
      </c>
      <c r="C861" t="s">
        <v>3472</v>
      </c>
      <c r="D861">
        <v>35443.050000000003</v>
      </c>
      <c r="E861" t="s">
        <v>3473</v>
      </c>
      <c r="F861">
        <v>15.04</v>
      </c>
      <c r="G861">
        <v>1.2899999618530269</v>
      </c>
      <c r="H861">
        <v>2028</v>
      </c>
      <c r="I861">
        <v>1.639999985694885</v>
      </c>
      <c r="J861" t="s">
        <v>3474</v>
      </c>
      <c r="K861">
        <v>51300</v>
      </c>
      <c r="L861">
        <v>30500</v>
      </c>
      <c r="M861">
        <v>-40.549999999999997</v>
      </c>
      <c r="N861">
        <v>-4.6900000000000004</v>
      </c>
      <c r="O861">
        <v>-4.8899999999999997</v>
      </c>
      <c r="P861">
        <v>-6.1</v>
      </c>
      <c r="Q861">
        <v>-10.23</v>
      </c>
      <c r="R861">
        <v>6.59</v>
      </c>
      <c r="S861">
        <v>-6.88</v>
      </c>
      <c r="T861">
        <v>2.9</v>
      </c>
      <c r="U861">
        <v>2.2799999999999998</v>
      </c>
      <c r="V861">
        <v>2.4900000000000002</v>
      </c>
      <c r="W861">
        <v>4.54</v>
      </c>
      <c r="X861">
        <v>3.04</v>
      </c>
      <c r="Y861">
        <v>1.55</v>
      </c>
      <c r="Z861">
        <v>1.62</v>
      </c>
      <c r="AA861">
        <v>2.14</v>
      </c>
      <c r="AB861">
        <v>2.4500000000000002</v>
      </c>
      <c r="AC861">
        <v>2.25</v>
      </c>
      <c r="AD861">
        <v>2.17</v>
      </c>
      <c r="AE861">
        <v>4.4400000000000004</v>
      </c>
      <c r="AF861">
        <v>2.5116666666666672</v>
      </c>
      <c r="AG861" t="str">
        <f>HYPERLINK("https://finance.naver.com/item/fchart.naver?code=001820", "삼화콘덴서 차트보기")</f>
        <v>삼화콘덴서 차트보기</v>
      </c>
    </row>
    <row r="862" spans="1:33" x14ac:dyDescent="0.3">
      <c r="A862" t="s">
        <v>3475</v>
      </c>
      <c r="B862" t="s">
        <v>55</v>
      </c>
      <c r="C862" t="s">
        <v>3476</v>
      </c>
      <c r="D862">
        <v>48207.19</v>
      </c>
      <c r="E862" t="s">
        <v>3477</v>
      </c>
      <c r="J862" t="s">
        <v>3478</v>
      </c>
      <c r="K862">
        <v>812</v>
      </c>
      <c r="L862">
        <v>643</v>
      </c>
      <c r="M862">
        <v>-20.81</v>
      </c>
      <c r="N862">
        <v>-6.27</v>
      </c>
      <c r="O862">
        <v>-4.58</v>
      </c>
      <c r="P862">
        <v>0.14000000000000001</v>
      </c>
      <c r="Q862">
        <v>-9.2799999999999994</v>
      </c>
      <c r="R862">
        <v>-2.13</v>
      </c>
      <c r="S862">
        <v>-6.94</v>
      </c>
      <c r="T862">
        <v>1.6</v>
      </c>
      <c r="U862">
        <v>1.61</v>
      </c>
      <c r="V862">
        <v>1.76</v>
      </c>
      <c r="W862">
        <v>3.72</v>
      </c>
      <c r="X862">
        <v>1.26</v>
      </c>
      <c r="Y862">
        <v>1.71</v>
      </c>
      <c r="Z862">
        <v>3.92</v>
      </c>
      <c r="AA862">
        <v>2.84</v>
      </c>
      <c r="AB862">
        <v>0.08</v>
      </c>
      <c r="AC862">
        <v>2.4900000000000002</v>
      </c>
      <c r="AD862">
        <v>1.69</v>
      </c>
      <c r="AE862">
        <v>4.0599999999999996</v>
      </c>
      <c r="AF862">
        <v>2.5133333333333332</v>
      </c>
      <c r="AG862" t="str">
        <f>HYPERLINK("https://finance.naver.com/item/fchart.naver?code=900260", "로스웰 차트보기")</f>
        <v>로스웰 차트보기</v>
      </c>
    </row>
    <row r="863" spans="1:33" x14ac:dyDescent="0.3">
      <c r="A863" t="s">
        <v>3479</v>
      </c>
      <c r="B863" t="s">
        <v>34</v>
      </c>
      <c r="C863" t="s">
        <v>3480</v>
      </c>
      <c r="D863">
        <v>13796.33</v>
      </c>
      <c r="E863" t="s">
        <v>3481</v>
      </c>
      <c r="F863">
        <v>25.25</v>
      </c>
      <c r="G863">
        <v>0.18999999761581421</v>
      </c>
      <c r="H863">
        <v>160</v>
      </c>
      <c r="I863">
        <v>0</v>
      </c>
      <c r="J863" t="s">
        <v>3482</v>
      </c>
      <c r="K863">
        <v>4660</v>
      </c>
      <c r="L863">
        <v>4040</v>
      </c>
      <c r="M863">
        <v>-13.3</v>
      </c>
      <c r="N863">
        <v>-6.05</v>
      </c>
      <c r="O863">
        <v>5.38</v>
      </c>
      <c r="P863">
        <v>-5.98</v>
      </c>
      <c r="Q863">
        <v>-0.45</v>
      </c>
      <c r="R863">
        <v>-2.25</v>
      </c>
      <c r="S863">
        <v>2.5099999999999998</v>
      </c>
      <c r="T863">
        <v>1.68</v>
      </c>
      <c r="U863">
        <v>2.1800000000000002</v>
      </c>
      <c r="V863">
        <v>1.1000000000000001</v>
      </c>
      <c r="W863">
        <v>2.42</v>
      </c>
      <c r="X863">
        <v>1.84</v>
      </c>
      <c r="Y863">
        <v>1.1599999999999999</v>
      </c>
      <c r="Z863">
        <v>3.6</v>
      </c>
      <c r="AA863">
        <v>2.4700000000000002</v>
      </c>
      <c r="AB863">
        <v>5.44</v>
      </c>
      <c r="AC863">
        <v>0.19</v>
      </c>
      <c r="AD863">
        <v>1.22</v>
      </c>
      <c r="AE863">
        <v>2.16</v>
      </c>
      <c r="AF863">
        <v>2.5133333333333341</v>
      </c>
      <c r="AG863" t="str">
        <f>HYPERLINK("https://finance.naver.com/item/fchart.naver?code=004440", "삼일씨엔에스 차트보기")</f>
        <v>삼일씨엔에스 차트보기</v>
      </c>
    </row>
    <row r="864" spans="1:33" x14ac:dyDescent="0.3">
      <c r="A864" t="s">
        <v>3483</v>
      </c>
      <c r="B864" t="s">
        <v>34</v>
      </c>
      <c r="C864" t="s">
        <v>3484</v>
      </c>
      <c r="D864">
        <v>1890.86</v>
      </c>
      <c r="E864" t="s">
        <v>3485</v>
      </c>
      <c r="F864">
        <v>0</v>
      </c>
      <c r="G864">
        <v>0</v>
      </c>
      <c r="H864">
        <v>0</v>
      </c>
      <c r="I864">
        <v>4.1399998664855957</v>
      </c>
      <c r="J864" t="s">
        <v>3486</v>
      </c>
      <c r="K864">
        <v>132400</v>
      </c>
      <c r="L864">
        <v>122000</v>
      </c>
      <c r="M864">
        <v>-7.85</v>
      </c>
      <c r="N864">
        <v>-0.33</v>
      </c>
      <c r="O864">
        <v>-2.5499999999999998</v>
      </c>
      <c r="P864">
        <v>1.2</v>
      </c>
      <c r="Q864">
        <v>-4.13</v>
      </c>
      <c r="R864">
        <v>-6.12</v>
      </c>
      <c r="S864">
        <v>-31.54</v>
      </c>
      <c r="T864">
        <v>2.99</v>
      </c>
      <c r="U864">
        <v>0.47</v>
      </c>
      <c r="V864">
        <v>1.48</v>
      </c>
      <c r="W864">
        <v>2.87</v>
      </c>
      <c r="X864">
        <v>2.13</v>
      </c>
      <c r="Y864">
        <v>7.1</v>
      </c>
      <c r="Z864">
        <v>0.11</v>
      </c>
      <c r="AA864">
        <v>5.43</v>
      </c>
      <c r="AB864">
        <v>0.81</v>
      </c>
      <c r="AC864">
        <v>1.44</v>
      </c>
      <c r="AD864">
        <v>2.87</v>
      </c>
      <c r="AE864">
        <v>4.4400000000000004</v>
      </c>
      <c r="AF864">
        <v>2.5166666666666671</v>
      </c>
      <c r="AG864" t="str">
        <f>HYPERLINK("https://finance.naver.com/item/fchart.naver?code=03473K", "SK우 차트보기")</f>
        <v>SK우 차트보기</v>
      </c>
    </row>
    <row r="865" spans="1:33" x14ac:dyDescent="0.3">
      <c r="A865" t="s">
        <v>3487</v>
      </c>
      <c r="B865" t="s">
        <v>55</v>
      </c>
      <c r="C865" t="s">
        <v>3488</v>
      </c>
      <c r="D865">
        <v>1285557</v>
      </c>
      <c r="E865" t="s">
        <v>3489</v>
      </c>
      <c r="F865">
        <v>0</v>
      </c>
      <c r="G865">
        <v>1.75</v>
      </c>
      <c r="H865">
        <v>0</v>
      </c>
      <c r="I865">
        <v>0</v>
      </c>
      <c r="J865" t="s">
        <v>3490</v>
      </c>
      <c r="K865">
        <v>2790</v>
      </c>
      <c r="L865">
        <v>1307</v>
      </c>
      <c r="M865">
        <v>-53.15</v>
      </c>
      <c r="N865">
        <v>-3.26</v>
      </c>
      <c r="O865">
        <v>-3.59</v>
      </c>
      <c r="P865">
        <v>-0.98</v>
      </c>
      <c r="Q865">
        <v>-14.45</v>
      </c>
      <c r="R865">
        <v>-26.56</v>
      </c>
      <c r="S865">
        <v>-12.27</v>
      </c>
      <c r="T865">
        <v>3.23</v>
      </c>
      <c r="U865">
        <v>3.74</v>
      </c>
      <c r="V865">
        <v>3.13</v>
      </c>
      <c r="W865">
        <v>3.87</v>
      </c>
      <c r="X865">
        <v>4.25</v>
      </c>
      <c r="Y865">
        <v>4.3</v>
      </c>
      <c r="Z865">
        <v>1.01</v>
      </c>
      <c r="AA865">
        <v>0.96</v>
      </c>
      <c r="AB865">
        <v>0.31</v>
      </c>
      <c r="AC865">
        <v>3.73</v>
      </c>
      <c r="AD865">
        <v>6.25</v>
      </c>
      <c r="AE865">
        <v>2.85</v>
      </c>
      <c r="AF865">
        <v>2.5183333333333331</v>
      </c>
      <c r="AG865" t="str">
        <f>HYPERLINK("https://finance.naver.com/item/fchart.naver?code=207760", "미스터블루 차트보기")</f>
        <v>미스터블루 차트보기</v>
      </c>
    </row>
    <row r="866" spans="1:33" x14ac:dyDescent="0.3">
      <c r="A866" t="s">
        <v>3491</v>
      </c>
      <c r="B866" t="s">
        <v>55</v>
      </c>
      <c r="C866" t="s">
        <v>3492</v>
      </c>
      <c r="D866">
        <v>21171.57</v>
      </c>
      <c r="E866" t="s">
        <v>3493</v>
      </c>
      <c r="F866">
        <v>16.350000000000001</v>
      </c>
      <c r="G866">
        <v>1.5</v>
      </c>
      <c r="H866">
        <v>126</v>
      </c>
      <c r="I866">
        <v>2.4300000667572021</v>
      </c>
      <c r="J866" t="s">
        <v>3494</v>
      </c>
      <c r="K866">
        <v>2415</v>
      </c>
      <c r="L866">
        <v>2060</v>
      </c>
      <c r="M866">
        <v>-14.7</v>
      </c>
      <c r="N866">
        <v>-4.1900000000000004</v>
      </c>
      <c r="O866">
        <v>-2.44</v>
      </c>
      <c r="P866">
        <v>3.94</v>
      </c>
      <c r="Q866">
        <v>-6.28</v>
      </c>
      <c r="R866">
        <v>-4.16</v>
      </c>
      <c r="S866">
        <v>2.4700000000000002</v>
      </c>
      <c r="T866">
        <v>1.84</v>
      </c>
      <c r="U866">
        <v>1.17</v>
      </c>
      <c r="V866">
        <v>2.17</v>
      </c>
      <c r="W866">
        <v>2.14</v>
      </c>
      <c r="X866">
        <v>1.1599999999999999</v>
      </c>
      <c r="Y866">
        <v>1.03</v>
      </c>
      <c r="Z866">
        <v>2.2799999999999998</v>
      </c>
      <c r="AA866">
        <v>2.09</v>
      </c>
      <c r="AB866">
        <v>1.82</v>
      </c>
      <c r="AC866">
        <v>2.93</v>
      </c>
      <c r="AD866">
        <v>3.59</v>
      </c>
      <c r="AE866">
        <v>2.4</v>
      </c>
      <c r="AF866">
        <v>2.5183333333333331</v>
      </c>
      <c r="AG866" t="str">
        <f>HYPERLINK("https://finance.naver.com/item/fchart.naver?code=408920", "메쎄이상 차트보기")</f>
        <v>메쎄이상 차트보기</v>
      </c>
    </row>
    <row r="867" spans="1:33" x14ac:dyDescent="0.3">
      <c r="A867" t="s">
        <v>3495</v>
      </c>
      <c r="B867" t="s">
        <v>55</v>
      </c>
      <c r="C867" t="s">
        <v>3496</v>
      </c>
      <c r="D867">
        <v>203238.05</v>
      </c>
      <c r="E867" t="s">
        <v>3497</v>
      </c>
      <c r="F867">
        <v>8.52</v>
      </c>
      <c r="G867">
        <v>0.41999998688697809</v>
      </c>
      <c r="H867">
        <v>207</v>
      </c>
      <c r="I867">
        <v>0</v>
      </c>
      <c r="J867" t="s">
        <v>3498</v>
      </c>
      <c r="K867">
        <v>2560</v>
      </c>
      <c r="L867">
        <v>1763</v>
      </c>
      <c r="M867">
        <v>-31.13</v>
      </c>
      <c r="N867">
        <v>1.56</v>
      </c>
      <c r="O867">
        <v>-5.73</v>
      </c>
      <c r="P867">
        <v>-9.3800000000000008</v>
      </c>
      <c r="Q867">
        <v>-3.31</v>
      </c>
      <c r="R867">
        <v>-8.5</v>
      </c>
      <c r="S867">
        <v>-4.5199999999999996</v>
      </c>
      <c r="T867">
        <v>4.13</v>
      </c>
      <c r="U867">
        <v>1.61</v>
      </c>
      <c r="V867">
        <v>2.2200000000000002</v>
      </c>
      <c r="W867">
        <v>4.9400000000000004</v>
      </c>
      <c r="X867">
        <v>2.2599999999999998</v>
      </c>
      <c r="Y867">
        <v>1.8</v>
      </c>
      <c r="Z867">
        <v>0.38</v>
      </c>
      <c r="AA867">
        <v>3.56</v>
      </c>
      <c r="AB867">
        <v>4.2300000000000004</v>
      </c>
      <c r="AC867">
        <v>0.67</v>
      </c>
      <c r="AD867">
        <v>3.76</v>
      </c>
      <c r="AE867">
        <v>2.5099999999999998</v>
      </c>
      <c r="AF867">
        <v>2.5183333333333331</v>
      </c>
      <c r="AG867" t="str">
        <f>HYPERLINK("https://finance.naver.com/item/fchart.naver?code=080000", "에스엔유 차트보기")</f>
        <v>에스엔유 차트보기</v>
      </c>
    </row>
    <row r="868" spans="1:33" x14ac:dyDescent="0.3">
      <c r="A868" t="s">
        <v>3499</v>
      </c>
      <c r="B868" t="s">
        <v>34</v>
      </c>
      <c r="C868" t="s">
        <v>3500</v>
      </c>
      <c r="D868">
        <v>452924.29</v>
      </c>
      <c r="E868" t="s">
        <v>3501</v>
      </c>
      <c r="F868">
        <v>8.6</v>
      </c>
      <c r="G868">
        <v>0.62999999523162842</v>
      </c>
      <c r="H868">
        <v>1588</v>
      </c>
      <c r="I868">
        <v>5.8600001335144043</v>
      </c>
      <c r="J868" t="s">
        <v>3502</v>
      </c>
      <c r="K868">
        <v>12900</v>
      </c>
      <c r="L868">
        <v>13660</v>
      </c>
      <c r="M868">
        <v>5.89</v>
      </c>
      <c r="N868">
        <v>1.41</v>
      </c>
      <c r="O868">
        <v>-0.3</v>
      </c>
      <c r="P868">
        <v>-2.68</v>
      </c>
      <c r="Q868">
        <v>-3.6</v>
      </c>
      <c r="R868">
        <v>11.2</v>
      </c>
      <c r="S868">
        <v>3.85</v>
      </c>
      <c r="T868">
        <v>0.93</v>
      </c>
      <c r="U868">
        <v>1.44</v>
      </c>
      <c r="V868">
        <v>2.29</v>
      </c>
      <c r="W868">
        <v>2.0499999999999998</v>
      </c>
      <c r="X868">
        <v>1.46</v>
      </c>
      <c r="Y868">
        <v>1.38</v>
      </c>
      <c r="Z868">
        <v>1.52</v>
      </c>
      <c r="AA868">
        <v>0.21</v>
      </c>
      <c r="AB868">
        <v>1.17</v>
      </c>
      <c r="AC868">
        <v>1.76</v>
      </c>
      <c r="AD868">
        <v>7.67</v>
      </c>
      <c r="AE868">
        <v>2.79</v>
      </c>
      <c r="AF868">
        <v>2.52</v>
      </c>
      <c r="AG868" t="str">
        <f>HYPERLINK("https://finance.naver.com/item/fchart.naver?code=005940", "NH투자증권 차트보기")</f>
        <v>NH투자증권 차트보기</v>
      </c>
    </row>
    <row r="869" spans="1:33" x14ac:dyDescent="0.3">
      <c r="A869" t="s">
        <v>3503</v>
      </c>
      <c r="B869" t="s">
        <v>34</v>
      </c>
      <c r="C869" t="s">
        <v>3504</v>
      </c>
      <c r="D869">
        <v>267896.95</v>
      </c>
      <c r="E869" t="s">
        <v>3505</v>
      </c>
      <c r="F869">
        <v>0</v>
      </c>
      <c r="G869">
        <v>4.429999828338623</v>
      </c>
      <c r="H869">
        <v>0</v>
      </c>
      <c r="I869">
        <v>0</v>
      </c>
      <c r="J869" t="s">
        <v>3506</v>
      </c>
      <c r="K869">
        <v>2140</v>
      </c>
      <c r="L869">
        <v>2170</v>
      </c>
      <c r="M869">
        <v>1.4</v>
      </c>
      <c r="N869">
        <v>-6.87</v>
      </c>
      <c r="O869">
        <v>4.0999999999999996</v>
      </c>
      <c r="P869">
        <v>-3.48</v>
      </c>
      <c r="Q869">
        <v>-0.6</v>
      </c>
      <c r="R869">
        <v>18.100000000000001</v>
      </c>
      <c r="S869">
        <v>-0.71</v>
      </c>
      <c r="T869">
        <v>1.78</v>
      </c>
      <c r="U869">
        <v>2.42</v>
      </c>
      <c r="V869">
        <v>1.68</v>
      </c>
      <c r="W869">
        <v>3.38</v>
      </c>
      <c r="X869">
        <v>2.62</v>
      </c>
      <c r="Y869">
        <v>1.7</v>
      </c>
      <c r="Z869">
        <v>3.86</v>
      </c>
      <c r="AA869">
        <v>1.69</v>
      </c>
      <c r="AB869">
        <v>2.0699999999999998</v>
      </c>
      <c r="AC869">
        <v>0.18</v>
      </c>
      <c r="AD869">
        <v>6.91</v>
      </c>
      <c r="AE869">
        <v>0.42</v>
      </c>
      <c r="AF869">
        <v>2.5216666666666669</v>
      </c>
      <c r="AG869" t="str">
        <f>HYPERLINK("https://finance.naver.com/item/fchart.naver?code=003520", "영진약품 차트보기")</f>
        <v>영진약품 차트보기</v>
      </c>
    </row>
    <row r="870" spans="1:33" x14ac:dyDescent="0.3">
      <c r="A870" t="s">
        <v>3507</v>
      </c>
      <c r="B870" t="s">
        <v>55</v>
      </c>
      <c r="C870" t="s">
        <v>3508</v>
      </c>
      <c r="D870">
        <v>6373.71</v>
      </c>
      <c r="E870" t="s">
        <v>3509</v>
      </c>
      <c r="F870">
        <v>0</v>
      </c>
      <c r="G870">
        <v>0</v>
      </c>
      <c r="H870">
        <v>0</v>
      </c>
      <c r="I870">
        <v>0</v>
      </c>
      <c r="J870" t="s">
        <v>3510</v>
      </c>
      <c r="K870">
        <v>2525</v>
      </c>
      <c r="L870">
        <v>2190</v>
      </c>
      <c r="M870">
        <v>-13.27</v>
      </c>
      <c r="N870">
        <v>0.46</v>
      </c>
      <c r="O870">
        <v>-1.57</v>
      </c>
      <c r="P870">
        <v>-0.45</v>
      </c>
      <c r="Q870">
        <v>-6.3</v>
      </c>
      <c r="R870">
        <v>-3.06</v>
      </c>
      <c r="S870">
        <v>2.52</v>
      </c>
      <c r="T870">
        <v>0.44</v>
      </c>
      <c r="U870">
        <v>1.03</v>
      </c>
      <c r="V870">
        <v>1.2</v>
      </c>
      <c r="W870">
        <v>0.94</v>
      </c>
      <c r="X870">
        <v>0.9</v>
      </c>
      <c r="Y870">
        <v>1.2</v>
      </c>
      <c r="Z870">
        <v>1.05</v>
      </c>
      <c r="AA870">
        <v>1.52</v>
      </c>
      <c r="AB870">
        <v>0.38</v>
      </c>
      <c r="AC870">
        <v>6.7</v>
      </c>
      <c r="AD870">
        <v>3.4</v>
      </c>
      <c r="AE870">
        <v>2.1</v>
      </c>
      <c r="AF870">
        <v>2.5249999999999999</v>
      </c>
      <c r="AG870" t="str">
        <f>HYPERLINK("https://finance.naver.com/item/fchart.naver?code=442770", "IBKS제21호스팩 차트보기")</f>
        <v>IBKS제21호스팩 차트보기</v>
      </c>
    </row>
    <row r="871" spans="1:33" x14ac:dyDescent="0.3">
      <c r="A871" t="s">
        <v>3511</v>
      </c>
      <c r="B871" t="s">
        <v>55</v>
      </c>
      <c r="C871" t="s">
        <v>3512</v>
      </c>
      <c r="D871">
        <v>64847.1</v>
      </c>
      <c r="E871" t="s">
        <v>3513</v>
      </c>
      <c r="F871">
        <v>0</v>
      </c>
      <c r="G871">
        <v>0.86000001430511475</v>
      </c>
      <c r="H871">
        <v>0</v>
      </c>
      <c r="I871">
        <v>0</v>
      </c>
      <c r="J871" t="s">
        <v>3514</v>
      </c>
      <c r="K871">
        <v>1167</v>
      </c>
      <c r="L871">
        <v>1000</v>
      </c>
      <c r="M871">
        <v>-14.31</v>
      </c>
      <c r="N871">
        <v>-0.6</v>
      </c>
      <c r="O871">
        <v>-4.1500000000000004</v>
      </c>
      <c r="P871">
        <v>-0.38</v>
      </c>
      <c r="Q871">
        <v>-6.28</v>
      </c>
      <c r="R871">
        <v>2.31</v>
      </c>
      <c r="S871">
        <v>-9.4600000000000009</v>
      </c>
      <c r="T871">
        <v>1.1499999999999999</v>
      </c>
      <c r="U871">
        <v>1.21</v>
      </c>
      <c r="V871">
        <v>1.34</v>
      </c>
      <c r="W871">
        <v>2.62</v>
      </c>
      <c r="X871">
        <v>1.04</v>
      </c>
      <c r="Y871">
        <v>1.5</v>
      </c>
      <c r="Z871">
        <v>0.52</v>
      </c>
      <c r="AA871">
        <v>3.43</v>
      </c>
      <c r="AB871">
        <v>0.28000000000000003</v>
      </c>
      <c r="AC871">
        <v>2.4</v>
      </c>
      <c r="AD871">
        <v>2.2200000000000002</v>
      </c>
      <c r="AE871">
        <v>6.31</v>
      </c>
      <c r="AF871">
        <v>2.5266666666666668</v>
      </c>
      <c r="AG871" t="str">
        <f>HYPERLINK("https://finance.naver.com/item/fchart.naver?code=018620", "우진비앤지 차트보기")</f>
        <v>우진비앤지 차트보기</v>
      </c>
    </row>
    <row r="872" spans="1:33" x14ac:dyDescent="0.3">
      <c r="A872" t="s">
        <v>3515</v>
      </c>
      <c r="B872" t="s">
        <v>34</v>
      </c>
      <c r="C872" t="s">
        <v>3516</v>
      </c>
      <c r="D872">
        <v>166669.24</v>
      </c>
      <c r="E872" t="s">
        <v>3517</v>
      </c>
      <c r="F872">
        <v>16.25</v>
      </c>
      <c r="G872">
        <v>0.41999998688697809</v>
      </c>
      <c r="H872">
        <v>208</v>
      </c>
      <c r="I872">
        <v>0</v>
      </c>
      <c r="J872" t="s">
        <v>3518</v>
      </c>
      <c r="K872">
        <v>2950</v>
      </c>
      <c r="L872">
        <v>3380</v>
      </c>
      <c r="M872">
        <v>14.58</v>
      </c>
      <c r="N872">
        <v>-6.76</v>
      </c>
      <c r="O872">
        <v>-7.6</v>
      </c>
      <c r="P872">
        <v>-4.95</v>
      </c>
      <c r="Q872">
        <v>29.15</v>
      </c>
      <c r="R872">
        <v>2.17</v>
      </c>
      <c r="S872">
        <v>7.89</v>
      </c>
      <c r="T872">
        <v>3.17</v>
      </c>
      <c r="U872">
        <v>3.08</v>
      </c>
      <c r="V872">
        <v>3.29</v>
      </c>
      <c r="W872">
        <v>4.8499999999999996</v>
      </c>
      <c r="X872">
        <v>2</v>
      </c>
      <c r="Y872">
        <v>4.01</v>
      </c>
      <c r="Z872">
        <v>2.13</v>
      </c>
      <c r="AA872">
        <v>2.4700000000000002</v>
      </c>
      <c r="AB872">
        <v>1.5</v>
      </c>
      <c r="AC872">
        <v>6.01</v>
      </c>
      <c r="AD872">
        <v>1.08</v>
      </c>
      <c r="AE872">
        <v>1.97</v>
      </c>
      <c r="AF872">
        <v>2.5266666666666668</v>
      </c>
      <c r="AG872" t="str">
        <f>HYPERLINK("https://finance.naver.com/item/fchart.naver?code=070960", "모나용평 차트보기")</f>
        <v>모나용평 차트보기</v>
      </c>
    </row>
    <row r="873" spans="1:33" x14ac:dyDescent="0.3">
      <c r="A873" t="s">
        <v>3519</v>
      </c>
      <c r="B873" t="s">
        <v>55</v>
      </c>
      <c r="C873" t="s">
        <v>3520</v>
      </c>
      <c r="D873">
        <v>342804.1</v>
      </c>
      <c r="E873" t="s">
        <v>3521</v>
      </c>
      <c r="F873">
        <v>0</v>
      </c>
      <c r="G873">
        <v>0.61000001430511475</v>
      </c>
      <c r="H873">
        <v>0</v>
      </c>
      <c r="I873">
        <v>0</v>
      </c>
      <c r="J873" t="s">
        <v>3522</v>
      </c>
      <c r="K873">
        <v>1978</v>
      </c>
      <c r="L873">
        <v>1391</v>
      </c>
      <c r="M873">
        <v>-29.68</v>
      </c>
      <c r="N873">
        <v>-1.21</v>
      </c>
      <c r="O873">
        <v>-5.41</v>
      </c>
      <c r="P873">
        <v>-3.84</v>
      </c>
      <c r="Q873">
        <v>-3.96</v>
      </c>
      <c r="R873">
        <v>-15.81</v>
      </c>
      <c r="S873">
        <v>1.44</v>
      </c>
      <c r="T873">
        <v>0.47</v>
      </c>
      <c r="U873">
        <v>2.72</v>
      </c>
      <c r="V873">
        <v>1.83</v>
      </c>
      <c r="W873">
        <v>3.72</v>
      </c>
      <c r="X873">
        <v>2.4</v>
      </c>
      <c r="Y873">
        <v>1.7</v>
      </c>
      <c r="Z873">
        <v>2.57</v>
      </c>
      <c r="AA873">
        <v>1.99</v>
      </c>
      <c r="AB873">
        <v>2.1</v>
      </c>
      <c r="AC873">
        <v>1.06</v>
      </c>
      <c r="AD873">
        <v>6.59</v>
      </c>
      <c r="AE873">
        <v>0.85</v>
      </c>
      <c r="AF873">
        <v>2.5266666666666668</v>
      </c>
      <c r="AG873" t="str">
        <f>HYPERLINK("https://finance.naver.com/item/fchart.naver?code=183490", "엔지켐생명과학 차트보기")</f>
        <v>엔지켐생명과학 차트보기</v>
      </c>
    </row>
    <row r="874" spans="1:33" x14ac:dyDescent="0.3">
      <c r="A874" t="s">
        <v>3523</v>
      </c>
      <c r="B874" t="s">
        <v>55</v>
      </c>
      <c r="C874" t="s">
        <v>3524</v>
      </c>
      <c r="D874">
        <v>33067.949999999997</v>
      </c>
      <c r="E874" t="s">
        <v>3525</v>
      </c>
      <c r="F874">
        <v>21.1</v>
      </c>
      <c r="G874">
        <v>2.809999942779541</v>
      </c>
      <c r="H874">
        <v>337</v>
      </c>
      <c r="I874">
        <v>0</v>
      </c>
      <c r="J874" t="s">
        <v>3526</v>
      </c>
      <c r="K874">
        <v>14900</v>
      </c>
      <c r="L874">
        <v>7110</v>
      </c>
      <c r="M874">
        <v>-52.28</v>
      </c>
      <c r="N874">
        <v>-1.39</v>
      </c>
      <c r="O874">
        <v>-9.65</v>
      </c>
      <c r="P874">
        <v>-6.79</v>
      </c>
      <c r="Q874">
        <v>-7.84</v>
      </c>
      <c r="R874">
        <v>-14.6</v>
      </c>
      <c r="S874">
        <v>-13.42</v>
      </c>
      <c r="T874">
        <v>2.69</v>
      </c>
      <c r="U874">
        <v>2.67</v>
      </c>
      <c r="V874">
        <v>4.05</v>
      </c>
      <c r="W874">
        <v>6.16</v>
      </c>
      <c r="X874">
        <v>2.94</v>
      </c>
      <c r="Y874">
        <v>4.3099999999999996</v>
      </c>
      <c r="Z874">
        <v>0.52</v>
      </c>
      <c r="AA874">
        <v>3.61</v>
      </c>
      <c r="AB874">
        <v>1.68</v>
      </c>
      <c r="AC874">
        <v>1.27</v>
      </c>
      <c r="AD874">
        <v>4.97</v>
      </c>
      <c r="AE874">
        <v>3.11</v>
      </c>
      <c r="AF874">
        <v>2.5266666666666668</v>
      </c>
      <c r="AG874" t="str">
        <f>HYPERLINK("https://finance.naver.com/item/fchart.naver?code=360350", "코셈 차트보기")</f>
        <v>코셈 차트보기</v>
      </c>
    </row>
    <row r="875" spans="1:33" x14ac:dyDescent="0.3">
      <c r="A875" t="s">
        <v>3527</v>
      </c>
      <c r="B875" t="s">
        <v>34</v>
      </c>
      <c r="C875" t="s">
        <v>3528</v>
      </c>
      <c r="D875">
        <v>30767.24</v>
      </c>
      <c r="E875" t="s">
        <v>3529</v>
      </c>
      <c r="F875">
        <v>7.94</v>
      </c>
      <c r="G875">
        <v>0.88999998569488525</v>
      </c>
      <c r="H875">
        <v>2544</v>
      </c>
      <c r="I875">
        <v>5.820000171661377</v>
      </c>
      <c r="J875" t="s">
        <v>3530</v>
      </c>
      <c r="K875">
        <v>22150</v>
      </c>
      <c r="L875">
        <v>20200</v>
      </c>
      <c r="M875">
        <v>-8.8000000000000007</v>
      </c>
      <c r="N875">
        <v>0</v>
      </c>
      <c r="O875">
        <v>3.72</v>
      </c>
      <c r="P875">
        <v>-2.64</v>
      </c>
      <c r="Q875">
        <v>-2.67</v>
      </c>
      <c r="R875">
        <v>-7.62</v>
      </c>
      <c r="S875">
        <v>-1.83</v>
      </c>
      <c r="T875">
        <v>1.1200000000000001</v>
      </c>
      <c r="U875">
        <v>1.26</v>
      </c>
      <c r="V875">
        <v>1.08</v>
      </c>
      <c r="W875">
        <v>1.59</v>
      </c>
      <c r="X875">
        <v>1.1399999999999999</v>
      </c>
      <c r="Y875">
        <v>1.3</v>
      </c>
      <c r="Z875">
        <v>0</v>
      </c>
      <c r="AA875">
        <v>2.95</v>
      </c>
      <c r="AB875">
        <v>2.44</v>
      </c>
      <c r="AC875">
        <v>1.68</v>
      </c>
      <c r="AD875">
        <v>6.68</v>
      </c>
      <c r="AE875">
        <v>1.41</v>
      </c>
      <c r="AF875">
        <v>2.5266666666666668</v>
      </c>
      <c r="AG875" t="str">
        <f>HYPERLINK("https://finance.naver.com/item/fchart.naver?code=214320", "이노션 차트보기")</f>
        <v>이노션 차트보기</v>
      </c>
    </row>
    <row r="876" spans="1:33" x14ac:dyDescent="0.3">
      <c r="A876" t="s">
        <v>3531</v>
      </c>
      <c r="B876" t="s">
        <v>55</v>
      </c>
      <c r="C876" t="s">
        <v>3532</v>
      </c>
      <c r="D876">
        <v>873611.14</v>
      </c>
      <c r="E876" t="s">
        <v>3533</v>
      </c>
      <c r="F876">
        <v>39.17</v>
      </c>
      <c r="G876">
        <v>4.3600001335144043</v>
      </c>
      <c r="H876">
        <v>180</v>
      </c>
      <c r="I876">
        <v>0</v>
      </c>
      <c r="J876" t="s">
        <v>3534</v>
      </c>
      <c r="K876">
        <v>10200</v>
      </c>
      <c r="L876">
        <v>7050</v>
      </c>
      <c r="M876">
        <v>-30.88</v>
      </c>
      <c r="N876">
        <v>-0.28000000000000003</v>
      </c>
      <c r="O876">
        <v>0.98</v>
      </c>
      <c r="P876">
        <v>-4.62</v>
      </c>
      <c r="Q876">
        <v>-32.479999999999997</v>
      </c>
      <c r="R876">
        <v>-9.33</v>
      </c>
      <c r="S876">
        <v>16.22</v>
      </c>
      <c r="T876">
        <v>2.72</v>
      </c>
      <c r="U876">
        <v>3.21</v>
      </c>
      <c r="V876">
        <v>2.85</v>
      </c>
      <c r="W876">
        <v>4.22</v>
      </c>
      <c r="X876">
        <v>4.53</v>
      </c>
      <c r="Y876">
        <v>4.8099999999999996</v>
      </c>
      <c r="Z876">
        <v>0.1</v>
      </c>
      <c r="AA876">
        <v>0.31</v>
      </c>
      <c r="AB876">
        <v>1.62</v>
      </c>
      <c r="AC876">
        <v>7.7</v>
      </c>
      <c r="AD876">
        <v>2.06</v>
      </c>
      <c r="AE876">
        <v>3.37</v>
      </c>
      <c r="AF876">
        <v>2.5266666666666668</v>
      </c>
      <c r="AG876" t="str">
        <f>HYPERLINK("https://finance.naver.com/item/fchart.naver?code=025320", "시노펙스 차트보기")</f>
        <v>시노펙스 차트보기</v>
      </c>
    </row>
    <row r="877" spans="1:33" x14ac:dyDescent="0.3">
      <c r="A877" t="s">
        <v>3535</v>
      </c>
      <c r="B877" t="s">
        <v>55</v>
      </c>
      <c r="C877" t="s">
        <v>3536</v>
      </c>
      <c r="D877">
        <v>82619.95</v>
      </c>
      <c r="E877" t="s">
        <v>3537</v>
      </c>
      <c r="F877">
        <v>0</v>
      </c>
      <c r="G877">
        <v>0.2800000011920929</v>
      </c>
      <c r="H877">
        <v>0</v>
      </c>
      <c r="I877">
        <v>0</v>
      </c>
      <c r="J877" t="s">
        <v>3538</v>
      </c>
      <c r="K877">
        <v>2340</v>
      </c>
      <c r="L877">
        <v>1872</v>
      </c>
      <c r="M877">
        <v>-20</v>
      </c>
      <c r="N877">
        <v>4.0599999999999996</v>
      </c>
      <c r="O877">
        <v>-3.47</v>
      </c>
      <c r="P877">
        <v>-2.0699999999999998</v>
      </c>
      <c r="Q877">
        <v>-13.83</v>
      </c>
      <c r="R877">
        <v>-6.62</v>
      </c>
      <c r="S877">
        <v>5.47</v>
      </c>
      <c r="T877">
        <v>1.1299999999999999</v>
      </c>
      <c r="U877">
        <v>1.21</v>
      </c>
      <c r="V877">
        <v>2.4500000000000002</v>
      </c>
      <c r="W877">
        <v>3.95</v>
      </c>
      <c r="X877">
        <v>1.95</v>
      </c>
      <c r="Y877">
        <v>5.57</v>
      </c>
      <c r="Z877">
        <v>3.59</v>
      </c>
      <c r="AA877">
        <v>2.87</v>
      </c>
      <c r="AB877">
        <v>0.84</v>
      </c>
      <c r="AC877">
        <v>3.5</v>
      </c>
      <c r="AD877">
        <v>3.39</v>
      </c>
      <c r="AE877">
        <v>0.98</v>
      </c>
      <c r="AF877">
        <v>2.5283333333333342</v>
      </c>
      <c r="AG877" t="str">
        <f>HYPERLINK("https://finance.naver.com/item/fchart.naver?code=031310", "아이즈비전 차트보기")</f>
        <v>아이즈비전 차트보기</v>
      </c>
    </row>
    <row r="878" spans="1:33" x14ac:dyDescent="0.3">
      <c r="A878" t="s">
        <v>3539</v>
      </c>
      <c r="B878" t="s">
        <v>55</v>
      </c>
      <c r="C878" t="s">
        <v>3540</v>
      </c>
      <c r="D878">
        <v>36098.57</v>
      </c>
      <c r="E878" t="s">
        <v>3541</v>
      </c>
      <c r="F878">
        <v>0</v>
      </c>
      <c r="G878">
        <v>0.5</v>
      </c>
      <c r="H878">
        <v>0</v>
      </c>
      <c r="I878">
        <v>0</v>
      </c>
      <c r="J878" t="s">
        <v>3542</v>
      </c>
      <c r="K878">
        <v>30950</v>
      </c>
      <c r="L878">
        <v>21750</v>
      </c>
      <c r="M878">
        <v>-29.73</v>
      </c>
      <c r="N878">
        <v>-3.55</v>
      </c>
      <c r="O878">
        <v>6.11</v>
      </c>
      <c r="P878">
        <v>-4.7</v>
      </c>
      <c r="Q878">
        <v>-11.71</v>
      </c>
      <c r="R878">
        <v>3.55</v>
      </c>
      <c r="S878">
        <v>-11.66</v>
      </c>
      <c r="T878">
        <v>2.94</v>
      </c>
      <c r="U878">
        <v>3.44</v>
      </c>
      <c r="V878">
        <v>3.25</v>
      </c>
      <c r="W878">
        <v>4.34</v>
      </c>
      <c r="X878">
        <v>2.65</v>
      </c>
      <c r="Y878">
        <v>1.74</v>
      </c>
      <c r="Z878">
        <v>1.21</v>
      </c>
      <c r="AA878">
        <v>1.78</v>
      </c>
      <c r="AB878">
        <v>1.45</v>
      </c>
      <c r="AC878">
        <v>2.7</v>
      </c>
      <c r="AD878">
        <v>1.34</v>
      </c>
      <c r="AE878">
        <v>6.7</v>
      </c>
      <c r="AF878">
        <v>2.5299999999999998</v>
      </c>
      <c r="AG878" t="str">
        <f>HYPERLINK("https://finance.naver.com/item/fchart.naver?code=063080", "컴투스홀딩스 차트보기")</f>
        <v>컴투스홀딩스 차트보기</v>
      </c>
    </row>
    <row r="879" spans="1:33" x14ac:dyDescent="0.3">
      <c r="A879" t="s">
        <v>3543</v>
      </c>
      <c r="B879" t="s">
        <v>34</v>
      </c>
      <c r="C879" t="s">
        <v>3544</v>
      </c>
      <c r="D879">
        <v>28637.86</v>
      </c>
      <c r="E879" t="s">
        <v>3545</v>
      </c>
      <c r="F879">
        <v>12.19</v>
      </c>
      <c r="G879">
        <v>0.54000002145767212</v>
      </c>
      <c r="H879">
        <v>2284</v>
      </c>
      <c r="I879">
        <v>0.72000002861022949</v>
      </c>
      <c r="J879" t="s">
        <v>3546</v>
      </c>
      <c r="K879">
        <v>30350</v>
      </c>
      <c r="L879">
        <v>27850</v>
      </c>
      <c r="M879">
        <v>-8.24</v>
      </c>
      <c r="N879">
        <v>-3.97</v>
      </c>
      <c r="O879">
        <v>4.6399999999999997</v>
      </c>
      <c r="P879">
        <v>-0.35</v>
      </c>
      <c r="Q879">
        <v>-10.68</v>
      </c>
      <c r="R879">
        <v>-7</v>
      </c>
      <c r="S879">
        <v>16.690000000000001</v>
      </c>
      <c r="T879">
        <v>1.66</v>
      </c>
      <c r="U879">
        <v>1.37</v>
      </c>
      <c r="V879">
        <v>1.45</v>
      </c>
      <c r="W879">
        <v>2.86</v>
      </c>
      <c r="X879">
        <v>2.99</v>
      </c>
      <c r="Y879">
        <v>5.39</v>
      </c>
      <c r="Z879">
        <v>2.39</v>
      </c>
      <c r="AA879">
        <v>3.39</v>
      </c>
      <c r="AB879">
        <v>0.24</v>
      </c>
      <c r="AC879">
        <v>3.73</v>
      </c>
      <c r="AD879">
        <v>2.34</v>
      </c>
      <c r="AE879">
        <v>3.1</v>
      </c>
      <c r="AF879">
        <v>2.5316666666666672</v>
      </c>
      <c r="AG879" t="str">
        <f>HYPERLINK("https://finance.naver.com/item/fchart.naver?code=248170", "샘표식품 차트보기")</f>
        <v>샘표식품 차트보기</v>
      </c>
    </row>
    <row r="880" spans="1:33" x14ac:dyDescent="0.3">
      <c r="A880" t="s">
        <v>3547</v>
      </c>
      <c r="B880" t="s">
        <v>55</v>
      </c>
      <c r="C880" t="s">
        <v>3548</v>
      </c>
      <c r="D880">
        <v>55550.67</v>
      </c>
      <c r="E880" t="s">
        <v>3549</v>
      </c>
      <c r="F880">
        <v>0</v>
      </c>
      <c r="G880">
        <v>0.93999999761581421</v>
      </c>
      <c r="H880">
        <v>0</v>
      </c>
      <c r="I880">
        <v>0</v>
      </c>
      <c r="J880" t="s">
        <v>3550</v>
      </c>
      <c r="K880">
        <v>13170</v>
      </c>
      <c r="L880">
        <v>7730</v>
      </c>
      <c r="M880">
        <v>-41.31</v>
      </c>
      <c r="N880">
        <v>-4.45</v>
      </c>
      <c r="O880">
        <v>-0.84</v>
      </c>
      <c r="P880">
        <v>-6.45</v>
      </c>
      <c r="Q880">
        <v>-21.62</v>
      </c>
      <c r="R880">
        <v>-7.31</v>
      </c>
      <c r="S880">
        <v>12.89</v>
      </c>
      <c r="T880">
        <v>2.68</v>
      </c>
      <c r="U880">
        <v>3.04</v>
      </c>
      <c r="V880">
        <v>2.89</v>
      </c>
      <c r="W880">
        <v>4.5199999999999996</v>
      </c>
      <c r="X880">
        <v>3.74</v>
      </c>
      <c r="Y880">
        <v>2.99</v>
      </c>
      <c r="Z880">
        <v>1.66</v>
      </c>
      <c r="AA880">
        <v>0.28000000000000003</v>
      </c>
      <c r="AB880">
        <v>2.23</v>
      </c>
      <c r="AC880">
        <v>4.78</v>
      </c>
      <c r="AD880">
        <v>1.95</v>
      </c>
      <c r="AE880">
        <v>4.3099999999999996</v>
      </c>
      <c r="AF880">
        <v>2.5350000000000001</v>
      </c>
      <c r="AG880" t="str">
        <f>HYPERLINK("https://finance.naver.com/item/fchart.naver?code=228670", "레이 차트보기")</f>
        <v>레이 차트보기</v>
      </c>
    </row>
    <row r="881" spans="1:33" x14ac:dyDescent="0.3">
      <c r="A881" t="s">
        <v>3551</v>
      </c>
      <c r="B881" t="s">
        <v>55</v>
      </c>
      <c r="C881" t="s">
        <v>3552</v>
      </c>
      <c r="D881">
        <v>6234.43</v>
      </c>
      <c r="E881" t="s">
        <v>3553</v>
      </c>
      <c r="F881">
        <v>0</v>
      </c>
      <c r="G881">
        <v>0</v>
      </c>
      <c r="H881">
        <v>0</v>
      </c>
      <c r="I881">
        <v>0</v>
      </c>
      <c r="J881" t="s">
        <v>3554</v>
      </c>
      <c r="K881">
        <v>2195</v>
      </c>
      <c r="L881">
        <v>2065</v>
      </c>
      <c r="M881">
        <v>-5.92</v>
      </c>
      <c r="N881">
        <v>0</v>
      </c>
      <c r="O881">
        <v>-2.38</v>
      </c>
      <c r="P881">
        <v>-1.64</v>
      </c>
      <c r="Q881">
        <v>-1.62</v>
      </c>
      <c r="R881">
        <v>1.65</v>
      </c>
      <c r="S881">
        <v>2.41</v>
      </c>
      <c r="T881">
        <v>0.39</v>
      </c>
      <c r="U881">
        <v>0.65</v>
      </c>
      <c r="V881">
        <v>0.9</v>
      </c>
      <c r="W881">
        <v>0.8</v>
      </c>
      <c r="X881">
        <v>0.41</v>
      </c>
      <c r="Y881">
        <v>0.65</v>
      </c>
      <c r="Z881">
        <v>0</v>
      </c>
      <c r="AA881">
        <v>3.66</v>
      </c>
      <c r="AB881">
        <v>1.82</v>
      </c>
      <c r="AC881">
        <v>2.02</v>
      </c>
      <c r="AD881">
        <v>4.0199999999999996</v>
      </c>
      <c r="AE881">
        <v>3.71</v>
      </c>
      <c r="AF881">
        <v>2.538333333333334</v>
      </c>
      <c r="AG881" t="str">
        <f>HYPERLINK("https://finance.naver.com/item/fchart.naver?code=454750", "하나28호스팩 차트보기")</f>
        <v>하나28호스팩 차트보기</v>
      </c>
    </row>
    <row r="882" spans="1:33" x14ac:dyDescent="0.3">
      <c r="A882" t="s">
        <v>3555</v>
      </c>
      <c r="B882" t="s">
        <v>34</v>
      </c>
      <c r="C882" t="s">
        <v>3556</v>
      </c>
      <c r="D882">
        <v>346408.71</v>
      </c>
      <c r="E882" t="s">
        <v>3557</v>
      </c>
      <c r="F882">
        <v>2.88</v>
      </c>
      <c r="G882">
        <v>0.62000000476837158</v>
      </c>
      <c r="H882">
        <v>1275</v>
      </c>
      <c r="I882">
        <v>1.360000014305115</v>
      </c>
      <c r="J882" t="s">
        <v>3558</v>
      </c>
      <c r="K882">
        <v>4020</v>
      </c>
      <c r="L882">
        <v>3670</v>
      </c>
      <c r="M882">
        <v>-8.7100000000000009</v>
      </c>
      <c r="N882">
        <v>-1.87</v>
      </c>
      <c r="O882">
        <v>-2.1800000000000002</v>
      </c>
      <c r="P882">
        <v>-2.4700000000000002</v>
      </c>
      <c r="Q882">
        <v>-2.2799999999999998</v>
      </c>
      <c r="R882">
        <v>-20.21</v>
      </c>
      <c r="S882">
        <v>34.729999999999997</v>
      </c>
      <c r="T882">
        <v>1.55</v>
      </c>
      <c r="U882">
        <v>3.24</v>
      </c>
      <c r="V882">
        <v>2.23</v>
      </c>
      <c r="W882">
        <v>3.06</v>
      </c>
      <c r="X882">
        <v>2.96</v>
      </c>
      <c r="Y882">
        <v>7.42</v>
      </c>
      <c r="Z882">
        <v>1.21</v>
      </c>
      <c r="AA882">
        <v>0.67</v>
      </c>
      <c r="AB882">
        <v>1.1100000000000001</v>
      </c>
      <c r="AC882">
        <v>0.75</v>
      </c>
      <c r="AD882">
        <v>6.83</v>
      </c>
      <c r="AE882">
        <v>4.68</v>
      </c>
      <c r="AF882">
        <v>2.541666666666667</v>
      </c>
      <c r="AG882" t="str">
        <f>HYPERLINK("https://finance.naver.com/item/fchart.naver?code=378850", "화승알앤에이 차트보기")</f>
        <v>화승알앤에이 차트보기</v>
      </c>
    </row>
    <row r="883" spans="1:33" x14ac:dyDescent="0.3">
      <c r="A883" t="s">
        <v>3559</v>
      </c>
      <c r="B883" t="s">
        <v>34</v>
      </c>
      <c r="C883" t="s">
        <v>3560</v>
      </c>
      <c r="D883">
        <v>257797.57</v>
      </c>
      <c r="E883" t="s">
        <v>3561</v>
      </c>
      <c r="F883">
        <v>13.69</v>
      </c>
      <c r="G883">
        <v>0.82999998331069946</v>
      </c>
      <c r="H883">
        <v>2890</v>
      </c>
      <c r="I883">
        <v>1.5199999809265139</v>
      </c>
      <c r="J883" t="s">
        <v>3562</v>
      </c>
      <c r="K883">
        <v>37400</v>
      </c>
      <c r="L883">
        <v>39550</v>
      </c>
      <c r="M883">
        <v>5.75</v>
      </c>
      <c r="N883">
        <v>7.18</v>
      </c>
      <c r="O883">
        <v>-1.62</v>
      </c>
      <c r="P883">
        <v>8.8800000000000008</v>
      </c>
      <c r="Q883">
        <v>-12.39</v>
      </c>
      <c r="R883">
        <v>-12.75</v>
      </c>
      <c r="S883">
        <v>0.11</v>
      </c>
      <c r="T883">
        <v>3.37</v>
      </c>
      <c r="U883">
        <v>3.4</v>
      </c>
      <c r="V883">
        <v>2.73</v>
      </c>
      <c r="W883">
        <v>3.32</v>
      </c>
      <c r="X883">
        <v>2.2599999999999998</v>
      </c>
      <c r="Y883">
        <v>4.1399999999999997</v>
      </c>
      <c r="Z883">
        <v>2.13</v>
      </c>
      <c r="AA883">
        <v>0.48</v>
      </c>
      <c r="AB883">
        <v>3.25</v>
      </c>
      <c r="AC883">
        <v>3.73</v>
      </c>
      <c r="AD883">
        <v>5.64</v>
      </c>
      <c r="AE883">
        <v>0.03</v>
      </c>
      <c r="AF883">
        <v>2.543333333333333</v>
      </c>
      <c r="AG883" t="str">
        <f>HYPERLINK("https://finance.naver.com/item/fchart.naver?code=204320", "HL만도 차트보기")</f>
        <v>HL만도 차트보기</v>
      </c>
    </row>
    <row r="884" spans="1:33" x14ac:dyDescent="0.3">
      <c r="A884" t="s">
        <v>3563</v>
      </c>
      <c r="B884" t="s">
        <v>55</v>
      </c>
      <c r="C884" t="s">
        <v>3564</v>
      </c>
      <c r="D884">
        <v>65953.19</v>
      </c>
      <c r="E884" t="s">
        <v>3565</v>
      </c>
      <c r="F884">
        <v>0</v>
      </c>
      <c r="G884">
        <v>0.43000000715255737</v>
      </c>
      <c r="H884">
        <v>0</v>
      </c>
      <c r="I884">
        <v>2.660000085830688</v>
      </c>
      <c r="J884" t="s">
        <v>3566</v>
      </c>
      <c r="K884">
        <v>4145</v>
      </c>
      <c r="L884">
        <v>3760</v>
      </c>
      <c r="M884">
        <v>-9.2899999999999991</v>
      </c>
      <c r="N884">
        <v>-3.59</v>
      </c>
      <c r="O884">
        <v>3.15</v>
      </c>
      <c r="P884">
        <v>-6.68</v>
      </c>
      <c r="Q884">
        <v>-6.63</v>
      </c>
      <c r="R884">
        <v>-9.34</v>
      </c>
      <c r="S884">
        <v>-0.9</v>
      </c>
      <c r="T884">
        <v>4.24</v>
      </c>
      <c r="U884">
        <v>1.85</v>
      </c>
      <c r="V884">
        <v>1.82</v>
      </c>
      <c r="W884">
        <v>2.46</v>
      </c>
      <c r="X884">
        <v>1.61</v>
      </c>
      <c r="Y884">
        <v>1.65</v>
      </c>
      <c r="Z884">
        <v>0.85</v>
      </c>
      <c r="AA884">
        <v>1.7</v>
      </c>
      <c r="AB884">
        <v>3.67</v>
      </c>
      <c r="AC884">
        <v>2.7</v>
      </c>
      <c r="AD884">
        <v>5.8</v>
      </c>
      <c r="AE884">
        <v>0.55000000000000004</v>
      </c>
      <c r="AF884">
        <v>2.5449999999999999</v>
      </c>
      <c r="AG884" t="str">
        <f>HYPERLINK("https://finance.naver.com/item/fchart.naver?code=067170", "오텍 차트보기")</f>
        <v>오텍 차트보기</v>
      </c>
    </row>
    <row r="885" spans="1:33" x14ac:dyDescent="0.3">
      <c r="A885" t="s">
        <v>3567</v>
      </c>
      <c r="B885" t="s">
        <v>55</v>
      </c>
      <c r="C885" t="s">
        <v>3568</v>
      </c>
      <c r="D885">
        <v>333367</v>
      </c>
      <c r="E885" t="s">
        <v>3569</v>
      </c>
      <c r="F885">
        <v>0</v>
      </c>
      <c r="G885">
        <v>1.7100000381469731</v>
      </c>
      <c r="H885">
        <v>0</v>
      </c>
      <c r="I885">
        <v>0</v>
      </c>
      <c r="J885" t="s">
        <v>3570</v>
      </c>
      <c r="K885">
        <v>2860</v>
      </c>
      <c r="L885">
        <v>2710</v>
      </c>
      <c r="M885">
        <v>-5.24</v>
      </c>
      <c r="N885">
        <v>9.27</v>
      </c>
      <c r="O885">
        <v>5.27</v>
      </c>
      <c r="P885">
        <v>2.95</v>
      </c>
      <c r="Q885">
        <v>-2.23</v>
      </c>
      <c r="R885">
        <v>-13.44</v>
      </c>
      <c r="S885">
        <v>11.16</v>
      </c>
      <c r="T885">
        <v>1.85</v>
      </c>
      <c r="U885">
        <v>3.6</v>
      </c>
      <c r="V885">
        <v>2.74</v>
      </c>
      <c r="W885">
        <v>3.18</v>
      </c>
      <c r="X885">
        <v>2.83</v>
      </c>
      <c r="Y885">
        <v>4.9000000000000004</v>
      </c>
      <c r="Z885">
        <v>5.01</v>
      </c>
      <c r="AA885">
        <v>1.46</v>
      </c>
      <c r="AB885">
        <v>1.08</v>
      </c>
      <c r="AC885">
        <v>0.7</v>
      </c>
      <c r="AD885">
        <v>4.75</v>
      </c>
      <c r="AE885">
        <v>2.2799999999999998</v>
      </c>
      <c r="AF885">
        <v>2.546666666666666</v>
      </c>
      <c r="AG885" t="str">
        <f>HYPERLINK("https://finance.naver.com/item/fchart.naver?code=083790", "CG인바이츠 차트보기")</f>
        <v>CG인바이츠 차트보기</v>
      </c>
    </row>
    <row r="886" spans="1:33" x14ac:dyDescent="0.3">
      <c r="A886" t="s">
        <v>3571</v>
      </c>
      <c r="B886" t="s">
        <v>55</v>
      </c>
      <c r="C886" t="s">
        <v>3572</v>
      </c>
      <c r="D886">
        <v>70514.81</v>
      </c>
      <c r="E886" t="s">
        <v>3573</v>
      </c>
      <c r="F886">
        <v>6.46</v>
      </c>
      <c r="G886">
        <v>0.73000001907348633</v>
      </c>
      <c r="H886">
        <v>835</v>
      </c>
      <c r="I886">
        <v>5.570000171661377</v>
      </c>
      <c r="J886" t="s">
        <v>3574</v>
      </c>
      <c r="K886">
        <v>6090</v>
      </c>
      <c r="L886">
        <v>5390</v>
      </c>
      <c r="M886">
        <v>-11.49</v>
      </c>
      <c r="N886">
        <v>14.19</v>
      </c>
      <c r="O886">
        <v>0.21</v>
      </c>
      <c r="P886">
        <v>-6.24</v>
      </c>
      <c r="Q886">
        <v>-16.670000000000002</v>
      </c>
      <c r="R886">
        <v>7.02</v>
      </c>
      <c r="S886">
        <v>1.97</v>
      </c>
      <c r="T886">
        <v>2.7</v>
      </c>
      <c r="U886">
        <v>1.64</v>
      </c>
      <c r="V886">
        <v>2.11</v>
      </c>
      <c r="W886">
        <v>4.13</v>
      </c>
      <c r="X886">
        <v>3.56</v>
      </c>
      <c r="Y886">
        <v>2.15</v>
      </c>
      <c r="Z886">
        <v>5.26</v>
      </c>
      <c r="AA886">
        <v>0.13</v>
      </c>
      <c r="AB886">
        <v>2.96</v>
      </c>
      <c r="AC886">
        <v>4.04</v>
      </c>
      <c r="AD886">
        <v>1.97</v>
      </c>
      <c r="AE886">
        <v>0.92</v>
      </c>
      <c r="AF886">
        <v>2.5466666666666669</v>
      </c>
      <c r="AG886" t="str">
        <f>HYPERLINK("https://finance.naver.com/item/fchart.naver?code=064820", "케이프 차트보기")</f>
        <v>케이프 차트보기</v>
      </c>
    </row>
    <row r="887" spans="1:33" x14ac:dyDescent="0.3">
      <c r="A887" t="s">
        <v>3575</v>
      </c>
      <c r="B887" t="s">
        <v>55</v>
      </c>
      <c r="C887" t="s">
        <v>3576</v>
      </c>
      <c r="D887">
        <v>381879.14</v>
      </c>
      <c r="E887" t="s">
        <v>3577</v>
      </c>
      <c r="F887">
        <v>0</v>
      </c>
      <c r="G887">
        <v>1.220000028610229</v>
      </c>
      <c r="H887">
        <v>0</v>
      </c>
      <c r="I887">
        <v>0</v>
      </c>
      <c r="J887" t="s">
        <v>3578</v>
      </c>
      <c r="K887">
        <v>5900</v>
      </c>
      <c r="L887">
        <v>3345</v>
      </c>
      <c r="M887">
        <v>-43.31</v>
      </c>
      <c r="N887">
        <v>-7.08</v>
      </c>
      <c r="O887">
        <v>0.55000000000000004</v>
      </c>
      <c r="P887">
        <v>-5.22</v>
      </c>
      <c r="Q887">
        <v>-16.600000000000001</v>
      </c>
      <c r="R887">
        <v>-13.16</v>
      </c>
      <c r="S887">
        <v>0</v>
      </c>
      <c r="T887">
        <v>2.35</v>
      </c>
      <c r="U887">
        <v>2.0299999999999998</v>
      </c>
      <c r="V887">
        <v>2.56</v>
      </c>
      <c r="W887">
        <v>4.6100000000000003</v>
      </c>
      <c r="X887">
        <v>2.0699999999999998</v>
      </c>
      <c r="Y887">
        <v>2.56</v>
      </c>
      <c r="Z887">
        <v>3.01</v>
      </c>
      <c r="AA887">
        <v>0.27</v>
      </c>
      <c r="AB887">
        <v>2.04</v>
      </c>
      <c r="AC887">
        <v>3.6</v>
      </c>
      <c r="AD887">
        <v>6.36</v>
      </c>
      <c r="AE887">
        <v>0</v>
      </c>
      <c r="AF887">
        <v>2.5466666666666669</v>
      </c>
      <c r="AG887" t="str">
        <f>HYPERLINK("https://finance.naver.com/item/fchart.naver?code=036540", "SFA반도체 차트보기")</f>
        <v>SFA반도체 차트보기</v>
      </c>
    </row>
    <row r="888" spans="1:33" x14ac:dyDescent="0.3">
      <c r="A888" t="s">
        <v>3579</v>
      </c>
      <c r="B888" t="s">
        <v>34</v>
      </c>
      <c r="C888" t="s">
        <v>3580</v>
      </c>
      <c r="D888">
        <v>152192.32999999999</v>
      </c>
      <c r="E888" t="s">
        <v>3581</v>
      </c>
      <c r="F888">
        <v>0</v>
      </c>
      <c r="G888">
        <v>0.82999998331069946</v>
      </c>
      <c r="H888">
        <v>0</v>
      </c>
      <c r="I888">
        <v>0</v>
      </c>
      <c r="J888" t="s">
        <v>3582</v>
      </c>
      <c r="K888">
        <v>1041</v>
      </c>
      <c r="L888">
        <v>513</v>
      </c>
      <c r="M888">
        <v>-50.72</v>
      </c>
      <c r="N888">
        <v>-1.91</v>
      </c>
      <c r="O888">
        <v>-5.92</v>
      </c>
      <c r="P888">
        <v>-4.4400000000000004</v>
      </c>
      <c r="Q888">
        <v>-3.25</v>
      </c>
      <c r="R888">
        <v>-8.81</v>
      </c>
      <c r="S888">
        <v>-7.37</v>
      </c>
      <c r="T888">
        <v>2.2999999999999998</v>
      </c>
      <c r="U888">
        <v>1.68</v>
      </c>
      <c r="V888">
        <v>2.06</v>
      </c>
      <c r="W888">
        <v>3.16</v>
      </c>
      <c r="X888">
        <v>1.67</v>
      </c>
      <c r="Y888">
        <v>2.99</v>
      </c>
      <c r="Z888">
        <v>0.83</v>
      </c>
      <c r="AA888">
        <v>3.52</v>
      </c>
      <c r="AB888">
        <v>2.16</v>
      </c>
      <c r="AC888">
        <v>1.03</v>
      </c>
      <c r="AD888">
        <v>5.28</v>
      </c>
      <c r="AE888">
        <v>2.46</v>
      </c>
      <c r="AF888">
        <v>2.5466666666666669</v>
      </c>
      <c r="AG888" t="str">
        <f>HYPERLINK("https://finance.naver.com/item/fchart.naver?code=000040", "KR모터스 차트보기")</f>
        <v>KR모터스 차트보기</v>
      </c>
    </row>
    <row r="889" spans="1:33" x14ac:dyDescent="0.3">
      <c r="A889" t="s">
        <v>3583</v>
      </c>
      <c r="B889" t="s">
        <v>34</v>
      </c>
      <c r="C889" t="s">
        <v>3584</v>
      </c>
      <c r="D889">
        <v>391679.24</v>
      </c>
      <c r="E889" t="s">
        <v>3585</v>
      </c>
      <c r="F889">
        <v>10.95</v>
      </c>
      <c r="G889">
        <v>0.87000000476837158</v>
      </c>
      <c r="H889">
        <v>5727</v>
      </c>
      <c r="I889">
        <v>1.9099999666213989</v>
      </c>
      <c r="J889" t="s">
        <v>3586</v>
      </c>
      <c r="K889">
        <v>77300</v>
      </c>
      <c r="L889">
        <v>62700</v>
      </c>
      <c r="M889">
        <v>-18.89</v>
      </c>
      <c r="N889">
        <v>-5</v>
      </c>
      <c r="O889">
        <v>9.98</v>
      </c>
      <c r="P889">
        <v>-6.13</v>
      </c>
      <c r="Q889">
        <v>10.65</v>
      </c>
      <c r="R889">
        <v>-10.57</v>
      </c>
      <c r="S889">
        <v>3.6</v>
      </c>
      <c r="T889">
        <v>3.01</v>
      </c>
      <c r="U889">
        <v>2.75</v>
      </c>
      <c r="V889">
        <v>3.89</v>
      </c>
      <c r="W889">
        <v>3.44</v>
      </c>
      <c r="X889">
        <v>3.08</v>
      </c>
      <c r="Y889">
        <v>1.9</v>
      </c>
      <c r="Z889">
        <v>1.66</v>
      </c>
      <c r="AA889">
        <v>3.63</v>
      </c>
      <c r="AB889">
        <v>1.58</v>
      </c>
      <c r="AC889">
        <v>3.1</v>
      </c>
      <c r="AD889">
        <v>3.43</v>
      </c>
      <c r="AE889">
        <v>1.89</v>
      </c>
      <c r="AF889">
        <v>2.5483333333333329</v>
      </c>
      <c r="AG889" t="str">
        <f>HYPERLINK("https://finance.naver.com/item/fchart.naver?code=103140", "풍산 차트보기")</f>
        <v>풍산 차트보기</v>
      </c>
    </row>
    <row r="890" spans="1:33" x14ac:dyDescent="0.3">
      <c r="A890" t="s">
        <v>3587</v>
      </c>
      <c r="B890" t="s">
        <v>34</v>
      </c>
      <c r="C890" t="s">
        <v>3588</v>
      </c>
      <c r="D890">
        <v>65916.429999999993</v>
      </c>
      <c r="E890" t="s">
        <v>3589</v>
      </c>
      <c r="F890">
        <v>39.61</v>
      </c>
      <c r="G890">
        <v>1.169999957084656</v>
      </c>
      <c r="H890">
        <v>255</v>
      </c>
      <c r="I890">
        <v>1.0099999904632571</v>
      </c>
      <c r="J890" t="s">
        <v>3590</v>
      </c>
      <c r="K890">
        <v>12830</v>
      </c>
      <c r="L890">
        <v>10100</v>
      </c>
      <c r="M890">
        <v>-21.28</v>
      </c>
      <c r="N890">
        <v>-1.27</v>
      </c>
      <c r="O890">
        <v>-1.69</v>
      </c>
      <c r="P890">
        <v>-1.96</v>
      </c>
      <c r="Q890">
        <v>-18.95</v>
      </c>
      <c r="R890">
        <v>-8.52</v>
      </c>
      <c r="S890">
        <v>8.61</v>
      </c>
      <c r="T890">
        <v>1.35</v>
      </c>
      <c r="U890">
        <v>1.78</v>
      </c>
      <c r="V890">
        <v>2.25</v>
      </c>
      <c r="W890">
        <v>2.72</v>
      </c>
      <c r="X890">
        <v>2.2599999999999998</v>
      </c>
      <c r="Y890">
        <v>4.8</v>
      </c>
      <c r="Z890">
        <v>0.94</v>
      </c>
      <c r="AA890">
        <v>0.95</v>
      </c>
      <c r="AB890">
        <v>0.87</v>
      </c>
      <c r="AC890">
        <v>6.97</v>
      </c>
      <c r="AD890">
        <v>3.77</v>
      </c>
      <c r="AE890">
        <v>1.79</v>
      </c>
      <c r="AF890">
        <v>2.5483333333333329</v>
      </c>
      <c r="AG890" t="str">
        <f>HYPERLINK("https://finance.naver.com/item/fchart.naver?code=017810", "풀무원 차트보기")</f>
        <v>풀무원 차트보기</v>
      </c>
    </row>
    <row r="891" spans="1:33" x14ac:dyDescent="0.3">
      <c r="A891" t="s">
        <v>3591</v>
      </c>
      <c r="B891" t="s">
        <v>55</v>
      </c>
      <c r="C891" t="s">
        <v>3592</v>
      </c>
      <c r="D891">
        <v>133484.57</v>
      </c>
      <c r="E891" t="s">
        <v>3593</v>
      </c>
      <c r="F891">
        <v>13.3</v>
      </c>
      <c r="G891">
        <v>0.93999999761581421</v>
      </c>
      <c r="H891">
        <v>67</v>
      </c>
      <c r="I891">
        <v>1.9099999666213989</v>
      </c>
      <c r="J891" t="s">
        <v>3594</v>
      </c>
      <c r="K891">
        <v>1010</v>
      </c>
      <c r="L891">
        <v>891</v>
      </c>
      <c r="M891">
        <v>-11.78</v>
      </c>
      <c r="N891">
        <v>-1.44</v>
      </c>
      <c r="O891">
        <v>-9.66</v>
      </c>
      <c r="P891">
        <v>1.39</v>
      </c>
      <c r="Q891">
        <v>-4.24</v>
      </c>
      <c r="R891">
        <v>-15.6</v>
      </c>
      <c r="S891">
        <v>-4.9800000000000004</v>
      </c>
      <c r="T891">
        <v>2.08</v>
      </c>
      <c r="U891">
        <v>1.31</v>
      </c>
      <c r="V891">
        <v>2.66</v>
      </c>
      <c r="W891">
        <v>4.05</v>
      </c>
      <c r="X891">
        <v>3.27</v>
      </c>
      <c r="Y891">
        <v>5.53</v>
      </c>
      <c r="Z891">
        <v>0.69</v>
      </c>
      <c r="AA891">
        <v>7.37</v>
      </c>
      <c r="AB891">
        <v>0.52</v>
      </c>
      <c r="AC891">
        <v>1.05</v>
      </c>
      <c r="AD891">
        <v>4.7699999999999996</v>
      </c>
      <c r="AE891">
        <v>0.9</v>
      </c>
      <c r="AF891">
        <v>2.5499999999999998</v>
      </c>
      <c r="AG891" t="str">
        <f>HYPERLINK("https://finance.naver.com/item/fchart.naver?code=252500", "세화피앤씨 차트보기")</f>
        <v>세화피앤씨 차트보기</v>
      </c>
    </row>
    <row r="892" spans="1:33" x14ac:dyDescent="0.3">
      <c r="A892" t="s">
        <v>3595</v>
      </c>
      <c r="B892" t="s">
        <v>34</v>
      </c>
      <c r="C892" t="s">
        <v>3596</v>
      </c>
      <c r="D892">
        <v>20606</v>
      </c>
      <c r="E892" t="s">
        <v>3597</v>
      </c>
      <c r="F892">
        <v>12.13</v>
      </c>
      <c r="G892">
        <v>0.37000000476837158</v>
      </c>
      <c r="H892">
        <v>417</v>
      </c>
      <c r="I892">
        <v>6.9200000762939453</v>
      </c>
      <c r="J892" t="s">
        <v>3598</v>
      </c>
      <c r="K892">
        <v>5570</v>
      </c>
      <c r="L892">
        <v>5060</v>
      </c>
      <c r="M892">
        <v>-9.16</v>
      </c>
      <c r="N892">
        <v>-1.36</v>
      </c>
      <c r="O892">
        <v>0.2</v>
      </c>
      <c r="P892">
        <v>-3.42</v>
      </c>
      <c r="Q892">
        <v>-2.76</v>
      </c>
      <c r="R892">
        <v>-2.87</v>
      </c>
      <c r="S892">
        <v>-0.88</v>
      </c>
      <c r="T892">
        <v>0.56000000000000005</v>
      </c>
      <c r="U892">
        <v>0.68</v>
      </c>
      <c r="V892">
        <v>0.91</v>
      </c>
      <c r="W892">
        <v>1.22</v>
      </c>
      <c r="X892">
        <v>0.63</v>
      </c>
      <c r="Y892">
        <v>0.44</v>
      </c>
      <c r="Z892">
        <v>2.4300000000000002</v>
      </c>
      <c r="AA892">
        <v>0.28999999999999998</v>
      </c>
      <c r="AB892">
        <v>3.76</v>
      </c>
      <c r="AC892">
        <v>2.2599999999999998</v>
      </c>
      <c r="AD892">
        <v>4.5599999999999996</v>
      </c>
      <c r="AE892">
        <v>2</v>
      </c>
      <c r="AF892">
        <v>2.5499999999999998</v>
      </c>
      <c r="AG892" t="str">
        <f>HYPERLINK("https://finance.naver.com/item/fchart.naver?code=000700", "유수홀딩스 차트보기")</f>
        <v>유수홀딩스 차트보기</v>
      </c>
    </row>
    <row r="893" spans="1:33" x14ac:dyDescent="0.3">
      <c r="A893" t="s">
        <v>3599</v>
      </c>
      <c r="B893" t="s">
        <v>55</v>
      </c>
      <c r="C893" t="s">
        <v>3600</v>
      </c>
      <c r="D893">
        <v>3629.05</v>
      </c>
      <c r="E893" t="s">
        <v>3601</v>
      </c>
      <c r="F893">
        <v>0</v>
      </c>
      <c r="G893">
        <v>0</v>
      </c>
      <c r="H893">
        <v>0</v>
      </c>
      <c r="I893">
        <v>0</v>
      </c>
      <c r="J893" t="s">
        <v>3602</v>
      </c>
      <c r="K893">
        <v>2140</v>
      </c>
      <c r="L893">
        <v>2120</v>
      </c>
      <c r="M893">
        <v>-0.93</v>
      </c>
      <c r="N893">
        <v>-0.24</v>
      </c>
      <c r="O893">
        <v>0.95</v>
      </c>
      <c r="P893">
        <v>-0.93</v>
      </c>
      <c r="Q893">
        <v>-2.73</v>
      </c>
      <c r="R893">
        <v>2.34</v>
      </c>
      <c r="S893">
        <v>0.23</v>
      </c>
      <c r="T893">
        <v>0.3</v>
      </c>
      <c r="U893">
        <v>0.47</v>
      </c>
      <c r="V893">
        <v>0.48</v>
      </c>
      <c r="W893">
        <v>0.76</v>
      </c>
      <c r="X893">
        <v>0.37</v>
      </c>
      <c r="Y893">
        <v>0.36</v>
      </c>
      <c r="Z893">
        <v>0.8</v>
      </c>
      <c r="AA893">
        <v>2.02</v>
      </c>
      <c r="AB893">
        <v>1.94</v>
      </c>
      <c r="AC893">
        <v>3.59</v>
      </c>
      <c r="AD893">
        <v>6.32</v>
      </c>
      <c r="AE893">
        <v>0.64</v>
      </c>
      <c r="AF893">
        <v>2.5516666666666672</v>
      </c>
      <c r="AG893" t="str">
        <f>HYPERLINK("https://finance.naver.com/item/fchart.naver?code=475250", "하나33호스팩 차트보기")</f>
        <v>하나33호스팩 차트보기</v>
      </c>
    </row>
    <row r="894" spans="1:33" x14ac:dyDescent="0.3">
      <c r="A894" t="s">
        <v>3603</v>
      </c>
      <c r="B894" t="s">
        <v>34</v>
      </c>
      <c r="C894" t="s">
        <v>3604</v>
      </c>
      <c r="D894">
        <v>1583.05</v>
      </c>
      <c r="E894" t="s">
        <v>3605</v>
      </c>
      <c r="F894">
        <v>186.26</v>
      </c>
      <c r="G894">
        <v>0.40000000596046448</v>
      </c>
      <c r="H894">
        <v>91</v>
      </c>
      <c r="I894">
        <v>0.5899999737739563</v>
      </c>
      <c r="J894" t="s">
        <v>3606</v>
      </c>
      <c r="K894">
        <v>18090</v>
      </c>
      <c r="L894">
        <v>16950</v>
      </c>
      <c r="M894">
        <v>-6.3</v>
      </c>
      <c r="N894">
        <v>-5.31</v>
      </c>
      <c r="O894">
        <v>0.56000000000000005</v>
      </c>
      <c r="P894">
        <v>9.8800000000000008</v>
      </c>
      <c r="Q894">
        <v>-7.73</v>
      </c>
      <c r="R894">
        <v>2.57</v>
      </c>
      <c r="S894">
        <v>-0.88</v>
      </c>
      <c r="T894">
        <v>1.79</v>
      </c>
      <c r="U894">
        <v>2.37</v>
      </c>
      <c r="V894">
        <v>2.14</v>
      </c>
      <c r="W894">
        <v>2.46</v>
      </c>
      <c r="X894">
        <v>0.97</v>
      </c>
      <c r="Y894">
        <v>0.52</v>
      </c>
      <c r="Z894">
        <v>2.97</v>
      </c>
      <c r="AA894">
        <v>0.24</v>
      </c>
      <c r="AB894">
        <v>4.62</v>
      </c>
      <c r="AC894">
        <v>3.14</v>
      </c>
      <c r="AD894">
        <v>2.65</v>
      </c>
      <c r="AE894">
        <v>1.69</v>
      </c>
      <c r="AF894">
        <v>2.5516666666666672</v>
      </c>
      <c r="AG894" t="str">
        <f>HYPERLINK("https://finance.naver.com/item/fchart.naver?code=001770", "SHD 차트보기")</f>
        <v>SHD 차트보기</v>
      </c>
    </row>
    <row r="895" spans="1:33" x14ac:dyDescent="0.3">
      <c r="A895" t="s">
        <v>3607</v>
      </c>
      <c r="B895" t="s">
        <v>55</v>
      </c>
      <c r="C895" t="s">
        <v>3608</v>
      </c>
      <c r="D895">
        <v>3245.33</v>
      </c>
      <c r="E895" t="s">
        <v>3609</v>
      </c>
      <c r="F895">
        <v>0</v>
      </c>
      <c r="G895">
        <v>0</v>
      </c>
      <c r="H895">
        <v>0</v>
      </c>
      <c r="I895">
        <v>0</v>
      </c>
      <c r="J895" t="s">
        <v>3610</v>
      </c>
      <c r="K895">
        <v>2365</v>
      </c>
      <c r="L895">
        <v>2185</v>
      </c>
      <c r="M895">
        <v>-7.61</v>
      </c>
      <c r="N895">
        <v>0</v>
      </c>
      <c r="O895">
        <v>0</v>
      </c>
      <c r="P895">
        <v>-0.69</v>
      </c>
      <c r="Q895">
        <v>-3.72</v>
      </c>
      <c r="R895">
        <v>-3.38</v>
      </c>
      <c r="S895">
        <v>2.61</v>
      </c>
      <c r="T895">
        <v>0.34</v>
      </c>
      <c r="U895">
        <v>0.45</v>
      </c>
      <c r="V895">
        <v>0.99</v>
      </c>
      <c r="W895">
        <v>1.02</v>
      </c>
      <c r="X895">
        <v>0.69</v>
      </c>
      <c r="Y895">
        <v>0.43</v>
      </c>
      <c r="Z895">
        <v>0</v>
      </c>
      <c r="AA895">
        <v>0</v>
      </c>
      <c r="AB895">
        <v>0.7</v>
      </c>
      <c r="AC895">
        <v>3.65</v>
      </c>
      <c r="AD895">
        <v>4.9000000000000004</v>
      </c>
      <c r="AE895">
        <v>6.07</v>
      </c>
      <c r="AF895">
        <v>2.5533333333333328</v>
      </c>
      <c r="AG895" t="str">
        <f>HYPERLINK("https://finance.naver.com/item/fchart.naver?code=440790", "교보13호스팩 차트보기")</f>
        <v>교보13호스팩 차트보기</v>
      </c>
    </row>
    <row r="896" spans="1:33" x14ac:dyDescent="0.3">
      <c r="A896" t="s">
        <v>3611</v>
      </c>
      <c r="B896" t="s">
        <v>34</v>
      </c>
      <c r="C896" t="s">
        <v>3612</v>
      </c>
      <c r="D896">
        <v>11580.76</v>
      </c>
      <c r="E896" t="s">
        <v>3613</v>
      </c>
      <c r="F896">
        <v>0</v>
      </c>
      <c r="G896">
        <v>0</v>
      </c>
      <c r="H896">
        <v>0</v>
      </c>
      <c r="I896">
        <v>6.6100001335144043</v>
      </c>
      <c r="J896" t="s">
        <v>3614</v>
      </c>
      <c r="K896">
        <v>37600</v>
      </c>
      <c r="L896">
        <v>38550</v>
      </c>
      <c r="M896">
        <v>2.5299999999999998</v>
      </c>
      <c r="N896">
        <v>-0.26</v>
      </c>
      <c r="O896">
        <v>-1.1599999999999999</v>
      </c>
      <c r="P896">
        <v>-7.11</v>
      </c>
      <c r="Q896">
        <v>-9.43</v>
      </c>
      <c r="R896">
        <v>22.09</v>
      </c>
      <c r="S896">
        <v>2.15</v>
      </c>
      <c r="T896">
        <v>0.63</v>
      </c>
      <c r="U896">
        <v>0.65</v>
      </c>
      <c r="V896">
        <v>2.61</v>
      </c>
      <c r="W896">
        <v>2.2000000000000002</v>
      </c>
      <c r="X896">
        <v>4.1399999999999997</v>
      </c>
      <c r="Y896">
        <v>2.77</v>
      </c>
      <c r="Z896">
        <v>0.41</v>
      </c>
      <c r="AA896">
        <v>1.78</v>
      </c>
      <c r="AB896">
        <v>2.72</v>
      </c>
      <c r="AC896">
        <v>4.29</v>
      </c>
      <c r="AD896">
        <v>5.34</v>
      </c>
      <c r="AE896">
        <v>0.78</v>
      </c>
      <c r="AF896">
        <v>2.5533333333333328</v>
      </c>
      <c r="AG896" t="str">
        <f>HYPERLINK("https://finance.naver.com/item/fchart.naver?code=078935", "GS우 차트보기")</f>
        <v>GS우 차트보기</v>
      </c>
    </row>
    <row r="897" spans="1:33" x14ac:dyDescent="0.3">
      <c r="A897" t="s">
        <v>3615</v>
      </c>
      <c r="B897" t="s">
        <v>34</v>
      </c>
      <c r="C897" t="s">
        <v>3616</v>
      </c>
      <c r="D897">
        <v>15998.19</v>
      </c>
      <c r="E897" t="s">
        <v>3617</v>
      </c>
      <c r="F897">
        <v>7.56</v>
      </c>
      <c r="G897">
        <v>0.41999998688697809</v>
      </c>
      <c r="H897">
        <v>5125</v>
      </c>
      <c r="I897">
        <v>5.679999828338623</v>
      </c>
      <c r="J897" t="s">
        <v>3618</v>
      </c>
      <c r="K897">
        <v>40750</v>
      </c>
      <c r="L897">
        <v>38750</v>
      </c>
      <c r="M897">
        <v>-4.91</v>
      </c>
      <c r="N897">
        <v>-0.64</v>
      </c>
      <c r="O897">
        <v>-1.63</v>
      </c>
      <c r="P897">
        <v>-3.03</v>
      </c>
      <c r="Q897">
        <v>-3.06</v>
      </c>
      <c r="R897">
        <v>4.87</v>
      </c>
      <c r="S897">
        <v>-1.48</v>
      </c>
      <c r="T897">
        <v>0.34</v>
      </c>
      <c r="U897">
        <v>1.1599999999999999</v>
      </c>
      <c r="V897">
        <v>0.74</v>
      </c>
      <c r="W897">
        <v>1.73</v>
      </c>
      <c r="X897">
        <v>1.24</v>
      </c>
      <c r="Y897">
        <v>0.66</v>
      </c>
      <c r="Z897">
        <v>1.88</v>
      </c>
      <c r="AA897">
        <v>1.41</v>
      </c>
      <c r="AB897">
        <v>4.09</v>
      </c>
      <c r="AC897">
        <v>1.77</v>
      </c>
      <c r="AD897">
        <v>3.93</v>
      </c>
      <c r="AE897">
        <v>2.2400000000000002</v>
      </c>
      <c r="AF897">
        <v>2.5533333333333328</v>
      </c>
      <c r="AG897" t="str">
        <f>HYPERLINK("https://finance.naver.com/item/fchart.naver?code=344820", "KCC글라스 차트보기")</f>
        <v>KCC글라스 차트보기</v>
      </c>
    </row>
    <row r="898" spans="1:33" x14ac:dyDescent="0.3">
      <c r="A898" t="s">
        <v>3619</v>
      </c>
      <c r="B898" t="s">
        <v>34</v>
      </c>
      <c r="C898" t="s">
        <v>3620</v>
      </c>
      <c r="D898">
        <v>115011.9</v>
      </c>
      <c r="E898" t="s">
        <v>3621</v>
      </c>
      <c r="F898">
        <v>6.76</v>
      </c>
      <c r="G898">
        <v>0.50999999046325684</v>
      </c>
      <c r="H898">
        <v>16727</v>
      </c>
      <c r="I898">
        <v>2.5699999332427979</v>
      </c>
      <c r="J898" t="s">
        <v>3622</v>
      </c>
      <c r="K898">
        <v>150700</v>
      </c>
      <c r="L898">
        <v>113000</v>
      </c>
      <c r="M898">
        <v>-25.02</v>
      </c>
      <c r="N898">
        <v>-17.64</v>
      </c>
      <c r="O898">
        <v>-9</v>
      </c>
      <c r="P898">
        <v>14.84</v>
      </c>
      <c r="Q898">
        <v>-3.86</v>
      </c>
      <c r="R898">
        <v>-5.65</v>
      </c>
      <c r="S898">
        <v>-1.21</v>
      </c>
      <c r="T898">
        <v>4.55</v>
      </c>
      <c r="U898">
        <v>2.4700000000000002</v>
      </c>
      <c r="V898">
        <v>3.43</v>
      </c>
      <c r="W898">
        <v>3.76</v>
      </c>
      <c r="X898">
        <v>2.79</v>
      </c>
      <c r="Y898">
        <v>2.91</v>
      </c>
      <c r="Z898">
        <v>3.88</v>
      </c>
      <c r="AA898">
        <v>3.64</v>
      </c>
      <c r="AB898">
        <v>4.33</v>
      </c>
      <c r="AC898">
        <v>1.03</v>
      </c>
      <c r="AD898">
        <v>2.0299999999999998</v>
      </c>
      <c r="AE898">
        <v>0.42</v>
      </c>
      <c r="AF898">
        <v>2.5550000000000002</v>
      </c>
      <c r="AG898" t="str">
        <f>HYPERLINK("https://finance.naver.com/item/fchart.naver?code=011780", "금호석유 차트보기")</f>
        <v>금호석유 차트보기</v>
      </c>
    </row>
    <row r="899" spans="1:33" x14ac:dyDescent="0.3">
      <c r="A899" t="s">
        <v>3623</v>
      </c>
      <c r="B899" t="s">
        <v>55</v>
      </c>
      <c r="C899" t="s">
        <v>3624</v>
      </c>
      <c r="D899">
        <v>267164.09999999998</v>
      </c>
      <c r="E899" t="s">
        <v>3625</v>
      </c>
      <c r="F899">
        <v>0</v>
      </c>
      <c r="G899">
        <v>1.75</v>
      </c>
      <c r="H899">
        <v>0</v>
      </c>
      <c r="I899">
        <v>0</v>
      </c>
      <c r="J899" t="s">
        <v>3626</v>
      </c>
      <c r="K899">
        <v>2305</v>
      </c>
      <c r="L899">
        <v>1777</v>
      </c>
      <c r="M899">
        <v>-22.91</v>
      </c>
      <c r="N899">
        <v>-2.68</v>
      </c>
      <c r="O899">
        <v>-14.12</v>
      </c>
      <c r="P899">
        <v>15.51</v>
      </c>
      <c r="Q899">
        <v>-6.7</v>
      </c>
      <c r="R899">
        <v>-1.34</v>
      </c>
      <c r="S899">
        <v>-11.13</v>
      </c>
      <c r="T899">
        <v>1.89</v>
      </c>
      <c r="U899">
        <v>3.53</v>
      </c>
      <c r="V899">
        <v>4.4400000000000004</v>
      </c>
      <c r="W899">
        <v>3.89</v>
      </c>
      <c r="X899">
        <v>2.0499999999999998</v>
      </c>
      <c r="Y899">
        <v>2.75</v>
      </c>
      <c r="Z899">
        <v>1.42</v>
      </c>
      <c r="AA899">
        <v>4</v>
      </c>
      <c r="AB899">
        <v>3.49</v>
      </c>
      <c r="AC899">
        <v>1.72</v>
      </c>
      <c r="AD899">
        <v>0.65</v>
      </c>
      <c r="AE899">
        <v>4.05</v>
      </c>
      <c r="AF899">
        <v>2.5550000000000002</v>
      </c>
      <c r="AG899" t="str">
        <f>HYPERLINK("https://finance.naver.com/item/fchart.naver?code=072770", "율호 차트보기")</f>
        <v>율호 차트보기</v>
      </c>
    </row>
    <row r="900" spans="1:33" x14ac:dyDescent="0.3">
      <c r="A900" t="s">
        <v>3627</v>
      </c>
      <c r="B900" t="s">
        <v>34</v>
      </c>
      <c r="C900" t="s">
        <v>3628</v>
      </c>
      <c r="D900">
        <v>790172.33</v>
      </c>
      <c r="E900" t="s">
        <v>3629</v>
      </c>
      <c r="F900">
        <v>0</v>
      </c>
      <c r="G900">
        <v>5.2300000190734863</v>
      </c>
      <c r="H900">
        <v>0</v>
      </c>
      <c r="I900">
        <v>0</v>
      </c>
      <c r="J900" t="s">
        <v>3630</v>
      </c>
      <c r="K900">
        <v>12770</v>
      </c>
      <c r="L900">
        <v>16390</v>
      </c>
      <c r="M900">
        <v>28.35</v>
      </c>
      <c r="N900">
        <v>18.68</v>
      </c>
      <c r="O900">
        <v>6.49</v>
      </c>
      <c r="P900">
        <v>-0.37</v>
      </c>
      <c r="Q900">
        <v>-6.93</v>
      </c>
      <c r="R900">
        <v>-8.34</v>
      </c>
      <c r="S900">
        <v>24.15</v>
      </c>
      <c r="T900">
        <v>4.68</v>
      </c>
      <c r="U900">
        <v>3.1</v>
      </c>
      <c r="V900">
        <v>2.4700000000000002</v>
      </c>
      <c r="W900">
        <v>4.9800000000000004</v>
      </c>
      <c r="X900">
        <v>5.46</v>
      </c>
      <c r="Y900">
        <v>3.9</v>
      </c>
      <c r="Z900">
        <v>3.99</v>
      </c>
      <c r="AA900">
        <v>2.09</v>
      </c>
      <c r="AB900">
        <v>0.15</v>
      </c>
      <c r="AC900">
        <v>1.39</v>
      </c>
      <c r="AD900">
        <v>1.53</v>
      </c>
      <c r="AE900">
        <v>6.19</v>
      </c>
      <c r="AF900">
        <v>2.5566666666666671</v>
      </c>
      <c r="AG900" t="str">
        <f>HYPERLINK("https://finance.naver.com/item/fchart.naver?code=082740", "한화엔진 차트보기")</f>
        <v>한화엔진 차트보기</v>
      </c>
    </row>
    <row r="901" spans="1:33" x14ac:dyDescent="0.3">
      <c r="A901" t="s">
        <v>3631</v>
      </c>
      <c r="B901" t="s">
        <v>55</v>
      </c>
      <c r="C901" t="s">
        <v>3632</v>
      </c>
      <c r="D901">
        <v>24795.62</v>
      </c>
      <c r="E901" t="s">
        <v>3633</v>
      </c>
      <c r="F901">
        <v>3.72</v>
      </c>
      <c r="G901">
        <v>0.5899999737739563</v>
      </c>
      <c r="H901">
        <v>6698</v>
      </c>
      <c r="I901">
        <v>3.0099999904632568</v>
      </c>
      <c r="J901" t="s">
        <v>3634</v>
      </c>
      <c r="K901">
        <v>28250</v>
      </c>
      <c r="L901">
        <v>24900</v>
      </c>
      <c r="M901">
        <v>-11.86</v>
      </c>
      <c r="N901">
        <v>10.91</v>
      </c>
      <c r="O901">
        <v>2.95</v>
      </c>
      <c r="P901">
        <v>-4.3099999999999996</v>
      </c>
      <c r="Q901">
        <v>-22.43</v>
      </c>
      <c r="R901">
        <v>9.57</v>
      </c>
      <c r="S901">
        <v>-0.9</v>
      </c>
      <c r="T901">
        <v>3.89</v>
      </c>
      <c r="U901">
        <v>1.86</v>
      </c>
      <c r="V901">
        <v>2.31</v>
      </c>
      <c r="W901">
        <v>4.1399999999999997</v>
      </c>
      <c r="X901">
        <v>2.86</v>
      </c>
      <c r="Y901">
        <v>2.95</v>
      </c>
      <c r="Z901">
        <v>2.8</v>
      </c>
      <c r="AA901">
        <v>1.59</v>
      </c>
      <c r="AB901">
        <v>1.87</v>
      </c>
      <c r="AC901">
        <v>5.42</v>
      </c>
      <c r="AD901">
        <v>3.35</v>
      </c>
      <c r="AE901">
        <v>0.31</v>
      </c>
      <c r="AF901">
        <v>2.5566666666666671</v>
      </c>
      <c r="AG901" t="str">
        <f>HYPERLINK("https://finance.naver.com/item/fchart.naver?code=054930", "유신 차트보기")</f>
        <v>유신 차트보기</v>
      </c>
    </row>
    <row r="902" spans="1:33" x14ac:dyDescent="0.3">
      <c r="A902" t="s">
        <v>3635</v>
      </c>
      <c r="B902" t="s">
        <v>34</v>
      </c>
      <c r="C902" t="s">
        <v>3636</v>
      </c>
      <c r="D902">
        <v>204643.67</v>
      </c>
      <c r="E902" t="s">
        <v>3637</v>
      </c>
      <c r="F902">
        <v>0</v>
      </c>
      <c r="G902">
        <v>2.5699999332427979</v>
      </c>
      <c r="H902">
        <v>0</v>
      </c>
      <c r="I902">
        <v>0</v>
      </c>
      <c r="J902" t="s">
        <v>3638</v>
      </c>
      <c r="K902">
        <v>21750</v>
      </c>
      <c r="L902">
        <v>16070</v>
      </c>
      <c r="M902">
        <v>-26.11</v>
      </c>
      <c r="N902">
        <v>-6.3</v>
      </c>
      <c r="O902">
        <v>-4.8499999999999996</v>
      </c>
      <c r="P902">
        <v>2.93</v>
      </c>
      <c r="Q902">
        <v>-8.11</v>
      </c>
      <c r="R902">
        <v>-2.67</v>
      </c>
      <c r="S902">
        <v>-12.6</v>
      </c>
      <c r="T902">
        <v>3.34</v>
      </c>
      <c r="U902">
        <v>2.62</v>
      </c>
      <c r="V902">
        <v>2.46</v>
      </c>
      <c r="W902">
        <v>3.71</v>
      </c>
      <c r="X902">
        <v>1.8</v>
      </c>
      <c r="Y902">
        <v>1.87</v>
      </c>
      <c r="Z902">
        <v>1.89</v>
      </c>
      <c r="AA902">
        <v>1.85</v>
      </c>
      <c r="AB902">
        <v>1.19</v>
      </c>
      <c r="AC902">
        <v>2.19</v>
      </c>
      <c r="AD902">
        <v>1.48</v>
      </c>
      <c r="AE902">
        <v>6.74</v>
      </c>
      <c r="AF902">
        <v>2.5566666666666671</v>
      </c>
      <c r="AG902" t="str">
        <f>HYPERLINK("https://finance.naver.com/item/fchart.naver?code=336260", "두산퓨얼셀 차트보기")</f>
        <v>두산퓨얼셀 차트보기</v>
      </c>
    </row>
    <row r="903" spans="1:33" x14ac:dyDescent="0.3">
      <c r="A903" t="s">
        <v>3639</v>
      </c>
      <c r="B903" t="s">
        <v>55</v>
      </c>
      <c r="C903" t="s">
        <v>3640</v>
      </c>
      <c r="D903">
        <v>40784.949999999997</v>
      </c>
      <c r="E903" t="s">
        <v>3641</v>
      </c>
      <c r="F903">
        <v>0</v>
      </c>
      <c r="G903">
        <v>14.310000419616699</v>
      </c>
      <c r="H903">
        <v>0</v>
      </c>
      <c r="I903">
        <v>0</v>
      </c>
      <c r="J903" t="s">
        <v>3642</v>
      </c>
      <c r="K903">
        <v>63700</v>
      </c>
      <c r="L903">
        <v>54400</v>
      </c>
      <c r="M903">
        <v>-14.6</v>
      </c>
      <c r="N903">
        <v>-4.9000000000000004</v>
      </c>
      <c r="O903">
        <v>0.53</v>
      </c>
      <c r="P903">
        <v>-28.2</v>
      </c>
      <c r="Q903">
        <v>7.58</v>
      </c>
      <c r="R903">
        <v>12.35</v>
      </c>
      <c r="S903">
        <v>7.78</v>
      </c>
      <c r="T903">
        <v>2.4900000000000002</v>
      </c>
      <c r="U903">
        <v>2.65</v>
      </c>
      <c r="V903">
        <v>5.85</v>
      </c>
      <c r="W903">
        <v>6.08</v>
      </c>
      <c r="X903">
        <v>2.95</v>
      </c>
      <c r="Y903">
        <v>2.66</v>
      </c>
      <c r="Z903">
        <v>1.97</v>
      </c>
      <c r="AA903">
        <v>0.2</v>
      </c>
      <c r="AB903">
        <v>4.82</v>
      </c>
      <c r="AC903">
        <v>1.25</v>
      </c>
      <c r="AD903">
        <v>4.1900000000000004</v>
      </c>
      <c r="AE903">
        <v>2.92</v>
      </c>
      <c r="AF903">
        <v>2.5583333333333331</v>
      </c>
      <c r="AG903" t="str">
        <f>HYPERLINK("https://finance.naver.com/item/fchart.naver?code=199800", "툴젠 차트보기")</f>
        <v>툴젠 차트보기</v>
      </c>
    </row>
    <row r="904" spans="1:33" x14ac:dyDescent="0.3">
      <c r="A904" t="s">
        <v>3643</v>
      </c>
      <c r="B904" t="s">
        <v>34</v>
      </c>
      <c r="C904" t="s">
        <v>3644</v>
      </c>
      <c r="D904">
        <v>84034.52</v>
      </c>
      <c r="E904" t="s">
        <v>3645</v>
      </c>
      <c r="F904">
        <v>0</v>
      </c>
      <c r="G904">
        <v>0.57999998331069946</v>
      </c>
      <c r="H904">
        <v>0</v>
      </c>
      <c r="I904">
        <v>0</v>
      </c>
      <c r="J904" t="s">
        <v>3646</v>
      </c>
      <c r="K904">
        <v>16750</v>
      </c>
      <c r="L904">
        <v>9200</v>
      </c>
      <c r="M904">
        <v>-45.07</v>
      </c>
      <c r="N904">
        <v>-6.22</v>
      </c>
      <c r="O904">
        <v>-4.62</v>
      </c>
      <c r="P904">
        <v>-1.98</v>
      </c>
      <c r="Q904">
        <v>-13.09</v>
      </c>
      <c r="R904">
        <v>-20.46</v>
      </c>
      <c r="S904">
        <v>-2.96</v>
      </c>
      <c r="T904">
        <v>3.02</v>
      </c>
      <c r="U904">
        <v>2.58</v>
      </c>
      <c r="V904">
        <v>3.63</v>
      </c>
      <c r="W904">
        <v>5.07</v>
      </c>
      <c r="X904">
        <v>2.95</v>
      </c>
      <c r="Y904">
        <v>2.0699999999999998</v>
      </c>
      <c r="Z904">
        <v>2.06</v>
      </c>
      <c r="AA904">
        <v>1.79</v>
      </c>
      <c r="AB904">
        <v>0.55000000000000004</v>
      </c>
      <c r="AC904">
        <v>2.58</v>
      </c>
      <c r="AD904">
        <v>6.94</v>
      </c>
      <c r="AE904">
        <v>1.43</v>
      </c>
      <c r="AF904">
        <v>2.558333333333334</v>
      </c>
      <c r="AG904" t="str">
        <f>HYPERLINK("https://finance.naver.com/item/fchart.naver?code=007810", "코리아써키트 차트보기")</f>
        <v>코리아써키트 차트보기</v>
      </c>
    </row>
    <row r="905" spans="1:33" x14ac:dyDescent="0.3">
      <c r="A905" t="s">
        <v>3647</v>
      </c>
      <c r="B905" t="s">
        <v>55</v>
      </c>
      <c r="C905" t="s">
        <v>3648</v>
      </c>
      <c r="D905">
        <v>212997.81</v>
      </c>
      <c r="E905" t="s">
        <v>3649</v>
      </c>
      <c r="F905">
        <v>0</v>
      </c>
      <c r="G905">
        <v>18.670000076293949</v>
      </c>
      <c r="H905">
        <v>0</v>
      </c>
      <c r="I905">
        <v>0</v>
      </c>
      <c r="J905" t="s">
        <v>3650</v>
      </c>
      <c r="K905">
        <v>32000</v>
      </c>
      <c r="L905">
        <v>35300</v>
      </c>
      <c r="M905">
        <v>10.31</v>
      </c>
      <c r="N905">
        <v>-8.5500000000000007</v>
      </c>
      <c r="O905">
        <v>-21.23</v>
      </c>
      <c r="P905">
        <v>4.6399999999999997</v>
      </c>
      <c r="Q905">
        <v>-0.76</v>
      </c>
      <c r="R905">
        <v>43.54</v>
      </c>
      <c r="S905">
        <v>-16.46</v>
      </c>
      <c r="T905">
        <v>4.55</v>
      </c>
      <c r="U905">
        <v>3.35</v>
      </c>
      <c r="V905">
        <v>3.87</v>
      </c>
      <c r="W905">
        <v>6.37</v>
      </c>
      <c r="X905">
        <v>9.69</v>
      </c>
      <c r="Y905">
        <v>12.35</v>
      </c>
      <c r="Z905">
        <v>1.88</v>
      </c>
      <c r="AA905">
        <v>6.34</v>
      </c>
      <c r="AB905">
        <v>1.2</v>
      </c>
      <c r="AC905">
        <v>0.12</v>
      </c>
      <c r="AD905">
        <v>4.49</v>
      </c>
      <c r="AE905">
        <v>1.33</v>
      </c>
      <c r="AF905">
        <v>2.56</v>
      </c>
      <c r="AG905" t="str">
        <f>HYPERLINK("https://finance.naver.com/item/fchart.naver?code=107640", "한중엔시에스 차트보기")</f>
        <v>한중엔시에스 차트보기</v>
      </c>
    </row>
    <row r="906" spans="1:33" x14ac:dyDescent="0.3">
      <c r="A906" t="s">
        <v>3651</v>
      </c>
      <c r="B906" t="s">
        <v>55</v>
      </c>
      <c r="C906" t="s">
        <v>3652</v>
      </c>
      <c r="D906">
        <v>83262.86</v>
      </c>
      <c r="E906" t="s">
        <v>3653</v>
      </c>
      <c r="F906">
        <v>10.59</v>
      </c>
      <c r="G906">
        <v>0.8399999737739563</v>
      </c>
      <c r="H906">
        <v>475</v>
      </c>
      <c r="I906">
        <v>0.99000000953674316</v>
      </c>
      <c r="J906" t="s">
        <v>3654</v>
      </c>
      <c r="K906">
        <v>6250</v>
      </c>
      <c r="L906">
        <v>5030</v>
      </c>
      <c r="M906">
        <v>-19.52</v>
      </c>
      <c r="N906">
        <v>4.9000000000000004</v>
      </c>
      <c r="O906">
        <v>-5.63</v>
      </c>
      <c r="P906">
        <v>-4.22</v>
      </c>
      <c r="Q906">
        <v>-0.37</v>
      </c>
      <c r="R906">
        <v>-12.16</v>
      </c>
      <c r="S906">
        <v>2.42</v>
      </c>
      <c r="T906">
        <v>3.3</v>
      </c>
      <c r="U906">
        <v>1.18</v>
      </c>
      <c r="V906">
        <v>2.04</v>
      </c>
      <c r="W906">
        <v>4.45</v>
      </c>
      <c r="X906">
        <v>1.91</v>
      </c>
      <c r="Y906">
        <v>4.12</v>
      </c>
      <c r="Z906">
        <v>1.48</v>
      </c>
      <c r="AA906">
        <v>4.7699999999999996</v>
      </c>
      <c r="AB906">
        <v>2.0699999999999998</v>
      </c>
      <c r="AC906">
        <v>0.08</v>
      </c>
      <c r="AD906">
        <v>6.37</v>
      </c>
      <c r="AE906">
        <v>0.59</v>
      </c>
      <c r="AF906">
        <v>2.56</v>
      </c>
      <c r="AG906" t="str">
        <f>HYPERLINK("https://finance.naver.com/item/fchart.naver?code=144960", "뉴파워프라즈마 차트보기")</f>
        <v>뉴파워프라즈마 차트보기</v>
      </c>
    </row>
    <row r="907" spans="1:33" x14ac:dyDescent="0.3">
      <c r="A907" t="s">
        <v>3655</v>
      </c>
      <c r="B907" t="s">
        <v>55</v>
      </c>
      <c r="C907" t="s">
        <v>3656</v>
      </c>
      <c r="D907">
        <v>12329.1</v>
      </c>
      <c r="E907" t="s">
        <v>3657</v>
      </c>
      <c r="F907">
        <v>9.23</v>
      </c>
      <c r="G907">
        <v>0.54000002145767212</v>
      </c>
      <c r="H907">
        <v>310</v>
      </c>
      <c r="I907">
        <v>6.119999885559082</v>
      </c>
      <c r="J907" t="s">
        <v>3658</v>
      </c>
      <c r="K907">
        <v>3710</v>
      </c>
      <c r="L907">
        <v>2860</v>
      </c>
      <c r="M907">
        <v>-22.91</v>
      </c>
      <c r="N907">
        <v>0</v>
      </c>
      <c r="O907">
        <v>-1.88</v>
      </c>
      <c r="P907">
        <v>-0.68</v>
      </c>
      <c r="Q907">
        <v>-6.78</v>
      </c>
      <c r="R907">
        <v>-4.55</v>
      </c>
      <c r="S907">
        <v>-7.13</v>
      </c>
      <c r="T907">
        <v>0.65</v>
      </c>
      <c r="U907">
        <v>0.71</v>
      </c>
      <c r="V907">
        <v>1.17</v>
      </c>
      <c r="W907">
        <v>2.56</v>
      </c>
      <c r="X907">
        <v>0.89</v>
      </c>
      <c r="Y907">
        <v>1.63</v>
      </c>
      <c r="Z907">
        <v>0</v>
      </c>
      <c r="AA907">
        <v>2.65</v>
      </c>
      <c r="AB907">
        <v>0.57999999999999996</v>
      </c>
      <c r="AC907">
        <v>2.65</v>
      </c>
      <c r="AD907">
        <v>5.1100000000000003</v>
      </c>
      <c r="AE907">
        <v>4.37</v>
      </c>
      <c r="AF907">
        <v>2.56</v>
      </c>
      <c r="AG907" t="str">
        <f>HYPERLINK("https://finance.naver.com/item/fchart.naver?code=002290", "삼일기업공사 차트보기")</f>
        <v>삼일기업공사 차트보기</v>
      </c>
    </row>
    <row r="908" spans="1:33" x14ac:dyDescent="0.3">
      <c r="A908" t="s">
        <v>3659</v>
      </c>
      <c r="B908" t="s">
        <v>55</v>
      </c>
      <c r="C908" t="s">
        <v>3660</v>
      </c>
      <c r="D908">
        <v>38072.050000000003</v>
      </c>
      <c r="E908" t="s">
        <v>3661</v>
      </c>
      <c r="F908">
        <v>6.26</v>
      </c>
      <c r="G908">
        <v>0.79000002145767212</v>
      </c>
      <c r="H908">
        <v>143</v>
      </c>
      <c r="I908">
        <v>2.7899999618530269</v>
      </c>
      <c r="J908" t="s">
        <v>3662</v>
      </c>
      <c r="K908">
        <v>984</v>
      </c>
      <c r="L908">
        <v>895</v>
      </c>
      <c r="M908">
        <v>-9.0399999999999991</v>
      </c>
      <c r="N908">
        <v>1.94</v>
      </c>
      <c r="O908">
        <v>2.19</v>
      </c>
      <c r="P908">
        <v>-1.83</v>
      </c>
      <c r="Q908">
        <v>-2.72</v>
      </c>
      <c r="R908">
        <v>1.63</v>
      </c>
      <c r="S908">
        <v>-6.48</v>
      </c>
      <c r="T908">
        <v>0.98</v>
      </c>
      <c r="U908">
        <v>0.74</v>
      </c>
      <c r="V908">
        <v>1.34</v>
      </c>
      <c r="W908">
        <v>4.04</v>
      </c>
      <c r="X908">
        <v>1.76</v>
      </c>
      <c r="Y908">
        <v>0.87</v>
      </c>
      <c r="Z908">
        <v>1.98</v>
      </c>
      <c r="AA908">
        <v>2.96</v>
      </c>
      <c r="AB908">
        <v>1.37</v>
      </c>
      <c r="AC908">
        <v>0.67</v>
      </c>
      <c r="AD908">
        <v>0.93</v>
      </c>
      <c r="AE908">
        <v>7.45</v>
      </c>
      <c r="AF908">
        <v>2.56</v>
      </c>
      <c r="AG908" t="str">
        <f>HYPERLINK("https://finance.naver.com/item/fchart.naver?code=131090", "시큐브 차트보기")</f>
        <v>시큐브 차트보기</v>
      </c>
    </row>
    <row r="909" spans="1:33" x14ac:dyDescent="0.3">
      <c r="A909" t="s">
        <v>3663</v>
      </c>
      <c r="B909" t="s">
        <v>55</v>
      </c>
      <c r="C909" t="s">
        <v>3664</v>
      </c>
      <c r="D909">
        <v>7343.1</v>
      </c>
      <c r="E909" t="s">
        <v>3665</v>
      </c>
      <c r="F909">
        <v>11.67</v>
      </c>
      <c r="G909">
        <v>0.76999998092651367</v>
      </c>
      <c r="H909">
        <v>825</v>
      </c>
      <c r="I909">
        <v>1.299999952316284</v>
      </c>
      <c r="J909" t="s">
        <v>3666</v>
      </c>
      <c r="K909">
        <v>10700</v>
      </c>
      <c r="L909">
        <v>9630</v>
      </c>
      <c r="M909">
        <v>-10</v>
      </c>
      <c r="N909">
        <v>-3.22</v>
      </c>
      <c r="O909">
        <v>-0.79</v>
      </c>
      <c r="P909">
        <v>-2.15</v>
      </c>
      <c r="Q909">
        <v>-0.28999999999999998</v>
      </c>
      <c r="R909">
        <v>-5.0999999999999996</v>
      </c>
      <c r="S909">
        <v>-7.67</v>
      </c>
      <c r="T909">
        <v>1.43</v>
      </c>
      <c r="U909">
        <v>0.65</v>
      </c>
      <c r="V909">
        <v>1.27</v>
      </c>
      <c r="W909">
        <v>1.54</v>
      </c>
      <c r="X909">
        <v>1.06</v>
      </c>
      <c r="Y909">
        <v>1.47</v>
      </c>
      <c r="Z909">
        <v>2.25</v>
      </c>
      <c r="AA909">
        <v>1.22</v>
      </c>
      <c r="AB909">
        <v>1.69</v>
      </c>
      <c r="AC909">
        <v>0.19</v>
      </c>
      <c r="AD909">
        <v>4.8099999999999996</v>
      </c>
      <c r="AE909">
        <v>5.22</v>
      </c>
      <c r="AF909">
        <v>2.563333333333333</v>
      </c>
      <c r="AG909" t="str">
        <f>HYPERLINK("https://finance.naver.com/item/fchart.naver?code=050960", "수산아이앤티 차트보기")</f>
        <v>수산아이앤티 차트보기</v>
      </c>
    </row>
    <row r="910" spans="1:33" x14ac:dyDescent="0.3">
      <c r="A910" t="s">
        <v>3667</v>
      </c>
      <c r="B910" t="s">
        <v>55</v>
      </c>
      <c r="C910" t="s">
        <v>3668</v>
      </c>
      <c r="D910">
        <v>616440.81000000006</v>
      </c>
      <c r="E910" t="s">
        <v>3669</v>
      </c>
      <c r="F910">
        <v>30.71</v>
      </c>
      <c r="G910">
        <v>3.2899999618530269</v>
      </c>
      <c r="H910">
        <v>168</v>
      </c>
      <c r="I910">
        <v>0.97000002861022949</v>
      </c>
      <c r="J910" t="s">
        <v>3670</v>
      </c>
      <c r="K910">
        <v>7300</v>
      </c>
      <c r="L910">
        <v>5160</v>
      </c>
      <c r="M910">
        <v>-29.32</v>
      </c>
      <c r="N910">
        <v>3.41</v>
      </c>
      <c r="O910">
        <v>-11.32</v>
      </c>
      <c r="P910">
        <v>-6.5</v>
      </c>
      <c r="Q910">
        <v>7.59</v>
      </c>
      <c r="R910">
        <v>-12.05</v>
      </c>
      <c r="S910">
        <v>-12.59</v>
      </c>
      <c r="T910">
        <v>3.45</v>
      </c>
      <c r="U910">
        <v>3.22</v>
      </c>
      <c r="V910">
        <v>4.3499999999999996</v>
      </c>
      <c r="W910">
        <v>5.75</v>
      </c>
      <c r="X910">
        <v>3.13</v>
      </c>
      <c r="Y910">
        <v>2.99</v>
      </c>
      <c r="Z910">
        <v>0.99</v>
      </c>
      <c r="AA910">
        <v>3.52</v>
      </c>
      <c r="AB910">
        <v>1.49</v>
      </c>
      <c r="AC910">
        <v>1.32</v>
      </c>
      <c r="AD910">
        <v>3.85</v>
      </c>
      <c r="AE910">
        <v>4.21</v>
      </c>
      <c r="AF910">
        <v>2.563333333333333</v>
      </c>
      <c r="AG910" t="str">
        <f>HYPERLINK("https://finance.naver.com/item/fchart.naver?code=264850", "이랜시스 차트보기")</f>
        <v>이랜시스 차트보기</v>
      </c>
    </row>
    <row r="911" spans="1:33" x14ac:dyDescent="0.3">
      <c r="A911" t="s">
        <v>3671</v>
      </c>
      <c r="B911" t="s">
        <v>55</v>
      </c>
      <c r="C911" t="s">
        <v>3672</v>
      </c>
      <c r="D911">
        <v>120671.76</v>
      </c>
      <c r="E911" t="s">
        <v>3673</v>
      </c>
      <c r="F911">
        <v>0</v>
      </c>
      <c r="G911">
        <v>1.6599999666213989</v>
      </c>
      <c r="H911">
        <v>0</v>
      </c>
      <c r="I911">
        <v>0.56000000238418579</v>
      </c>
      <c r="J911" t="s">
        <v>3674</v>
      </c>
      <c r="K911">
        <v>34800</v>
      </c>
      <c r="L911">
        <v>17880</v>
      </c>
      <c r="M911">
        <v>-48.62</v>
      </c>
      <c r="N911">
        <v>-6.39</v>
      </c>
      <c r="O911">
        <v>-7.75</v>
      </c>
      <c r="P911">
        <v>-5.0999999999999996</v>
      </c>
      <c r="Q911">
        <v>-5.93</v>
      </c>
      <c r="R911">
        <v>-10.62</v>
      </c>
      <c r="S911">
        <v>-4.9800000000000004</v>
      </c>
      <c r="T911">
        <v>2.27</v>
      </c>
      <c r="U911">
        <v>2.21</v>
      </c>
      <c r="V911">
        <v>3.04</v>
      </c>
      <c r="W911">
        <v>4.67</v>
      </c>
      <c r="X911">
        <v>2.66</v>
      </c>
      <c r="Y911">
        <v>2.35</v>
      </c>
      <c r="Z911">
        <v>2.81</v>
      </c>
      <c r="AA911">
        <v>3.51</v>
      </c>
      <c r="AB911">
        <v>1.68</v>
      </c>
      <c r="AC911">
        <v>1.27</v>
      </c>
      <c r="AD911">
        <v>3.99</v>
      </c>
      <c r="AE911">
        <v>2.12</v>
      </c>
      <c r="AF911">
        <v>2.563333333333333</v>
      </c>
      <c r="AG911" t="str">
        <f>HYPERLINK("https://finance.naver.com/item/fchart.naver?code=089010", "켐트로닉스 차트보기")</f>
        <v>켐트로닉스 차트보기</v>
      </c>
    </row>
    <row r="912" spans="1:33" x14ac:dyDescent="0.3">
      <c r="A912" t="s">
        <v>3675</v>
      </c>
      <c r="B912" t="s">
        <v>34</v>
      </c>
      <c r="C912" t="s">
        <v>3676</v>
      </c>
      <c r="D912">
        <v>208502.95</v>
      </c>
      <c r="E912" t="s">
        <v>3677</v>
      </c>
      <c r="F912">
        <v>0</v>
      </c>
      <c r="G912">
        <v>0.52999997138977051</v>
      </c>
      <c r="H912">
        <v>0</v>
      </c>
      <c r="I912">
        <v>0</v>
      </c>
      <c r="J912" t="s">
        <v>3678</v>
      </c>
      <c r="K912">
        <v>1335</v>
      </c>
      <c r="L912">
        <v>1079</v>
      </c>
      <c r="M912">
        <v>-19.18</v>
      </c>
      <c r="N912">
        <v>28.76</v>
      </c>
      <c r="O912">
        <v>-4.12</v>
      </c>
      <c r="P912">
        <v>-1.1000000000000001</v>
      </c>
      <c r="Q912">
        <v>-11.84</v>
      </c>
      <c r="R912">
        <v>0.66</v>
      </c>
      <c r="S912">
        <v>-4.82</v>
      </c>
      <c r="T912">
        <v>6.94</v>
      </c>
      <c r="U912">
        <v>1.49</v>
      </c>
      <c r="V912">
        <v>2.0299999999999998</v>
      </c>
      <c r="W912">
        <v>2.88</v>
      </c>
      <c r="X912">
        <v>2.5299999999999998</v>
      </c>
      <c r="Y912">
        <v>1.35</v>
      </c>
      <c r="Z912">
        <v>4.1399999999999997</v>
      </c>
      <c r="AA912">
        <v>2.77</v>
      </c>
      <c r="AB912">
        <v>0.54</v>
      </c>
      <c r="AC912">
        <v>4.1100000000000003</v>
      </c>
      <c r="AD912">
        <v>0.26</v>
      </c>
      <c r="AE912">
        <v>3.57</v>
      </c>
      <c r="AF912">
        <v>2.5649999999999999</v>
      </c>
      <c r="AG912" t="str">
        <f>HYPERLINK("https://finance.naver.com/item/fchart.naver?code=133820", "화인베스틸 차트보기")</f>
        <v>화인베스틸 차트보기</v>
      </c>
    </row>
    <row r="913" spans="1:33" x14ac:dyDescent="0.3">
      <c r="A913" t="s">
        <v>3679</v>
      </c>
      <c r="B913" t="s">
        <v>34</v>
      </c>
      <c r="C913" t="s">
        <v>3680</v>
      </c>
      <c r="D913">
        <v>44598.38</v>
      </c>
      <c r="E913" t="s">
        <v>3681</v>
      </c>
      <c r="F913">
        <v>6.19</v>
      </c>
      <c r="G913">
        <v>0.51999998092651367</v>
      </c>
      <c r="H913">
        <v>687</v>
      </c>
      <c r="I913">
        <v>4.6999998092651367</v>
      </c>
      <c r="J913" t="s">
        <v>3682</v>
      </c>
      <c r="K913">
        <v>4675</v>
      </c>
      <c r="L913">
        <v>4255</v>
      </c>
      <c r="M913">
        <v>-8.98</v>
      </c>
      <c r="N913">
        <v>-1.1599999999999999</v>
      </c>
      <c r="O913">
        <v>-1.82</v>
      </c>
      <c r="P913">
        <v>-0.11</v>
      </c>
      <c r="Q913">
        <v>-0.11</v>
      </c>
      <c r="R913">
        <v>-3.04</v>
      </c>
      <c r="S913">
        <v>-0.89</v>
      </c>
      <c r="T913">
        <v>0.53</v>
      </c>
      <c r="U913">
        <v>1.01</v>
      </c>
      <c r="V913">
        <v>1.41</v>
      </c>
      <c r="W913">
        <v>2.29</v>
      </c>
      <c r="X913">
        <v>0.33</v>
      </c>
      <c r="Y913">
        <v>0.43</v>
      </c>
      <c r="Z913">
        <v>2.19</v>
      </c>
      <c r="AA913">
        <v>1.8</v>
      </c>
      <c r="AB913">
        <v>0.08</v>
      </c>
      <c r="AC913">
        <v>0.05</v>
      </c>
      <c r="AD913">
        <v>9.2100000000000009</v>
      </c>
      <c r="AE913">
        <v>2.0699999999999998</v>
      </c>
      <c r="AF913">
        <v>2.5666666666666669</v>
      </c>
      <c r="AG913" t="str">
        <f>HYPERLINK("https://finance.naver.com/item/fchart.naver?code=102260", "동성케미컬 차트보기")</f>
        <v>동성케미컬 차트보기</v>
      </c>
    </row>
    <row r="914" spans="1:33" x14ac:dyDescent="0.3">
      <c r="A914" t="s">
        <v>3683</v>
      </c>
      <c r="B914" t="s">
        <v>55</v>
      </c>
      <c r="C914" t="s">
        <v>3684</v>
      </c>
      <c r="D914">
        <v>147622.9</v>
      </c>
      <c r="E914" t="s">
        <v>3685</v>
      </c>
      <c r="F914">
        <v>0</v>
      </c>
      <c r="G914">
        <v>24.370000839233398</v>
      </c>
      <c r="H914">
        <v>0</v>
      </c>
      <c r="I914">
        <v>0</v>
      </c>
      <c r="J914" t="s">
        <v>3686</v>
      </c>
      <c r="K914">
        <v>67000</v>
      </c>
      <c r="L914">
        <v>61500</v>
      </c>
      <c r="M914">
        <v>-8.2100000000000009</v>
      </c>
      <c r="N914">
        <v>18.5</v>
      </c>
      <c r="O914">
        <v>3.36</v>
      </c>
      <c r="P914">
        <v>3.96</v>
      </c>
      <c r="Q914">
        <v>-0.98</v>
      </c>
      <c r="R914">
        <v>-13.05</v>
      </c>
      <c r="S914">
        <v>-11.15</v>
      </c>
      <c r="T914">
        <v>3.13</v>
      </c>
      <c r="U914">
        <v>3.83</v>
      </c>
      <c r="V914">
        <v>3.98</v>
      </c>
      <c r="W914">
        <v>5.96</v>
      </c>
      <c r="X914">
        <v>2.91</v>
      </c>
      <c r="Y914">
        <v>3.73</v>
      </c>
      <c r="Z914">
        <v>5.91</v>
      </c>
      <c r="AA914">
        <v>0.88</v>
      </c>
      <c r="AB914">
        <v>0.99</v>
      </c>
      <c r="AC914">
        <v>0.16</v>
      </c>
      <c r="AD914">
        <v>4.4800000000000004</v>
      </c>
      <c r="AE914">
        <v>2.99</v>
      </c>
      <c r="AF914">
        <v>2.5683333333333338</v>
      </c>
      <c r="AG914" t="str">
        <f>HYPERLINK("https://finance.naver.com/item/fchart.naver?code=058970", "엠로 차트보기")</f>
        <v>엠로 차트보기</v>
      </c>
    </row>
    <row r="915" spans="1:33" x14ac:dyDescent="0.3">
      <c r="A915" t="s">
        <v>3687</v>
      </c>
      <c r="B915" t="s">
        <v>34</v>
      </c>
      <c r="C915" t="s">
        <v>3688</v>
      </c>
      <c r="D915">
        <v>2497.14</v>
      </c>
      <c r="E915" t="s">
        <v>3689</v>
      </c>
      <c r="F915">
        <v>10.02</v>
      </c>
      <c r="G915">
        <v>0.18999999761581421</v>
      </c>
      <c r="H915">
        <v>5188</v>
      </c>
      <c r="I915">
        <v>4.3299999237060547</v>
      </c>
      <c r="J915" t="s">
        <v>3690</v>
      </c>
      <c r="K915">
        <v>56700</v>
      </c>
      <c r="L915">
        <v>52000</v>
      </c>
      <c r="M915">
        <v>-8.2899999999999991</v>
      </c>
      <c r="N915">
        <v>-0.95</v>
      </c>
      <c r="O915">
        <v>-1.31</v>
      </c>
      <c r="P915">
        <v>-1.1100000000000001</v>
      </c>
      <c r="Q915">
        <v>-2.69</v>
      </c>
      <c r="R915">
        <v>-1.76</v>
      </c>
      <c r="S915">
        <v>-1.55</v>
      </c>
      <c r="T915">
        <v>0.38</v>
      </c>
      <c r="U915">
        <v>0.39</v>
      </c>
      <c r="V915">
        <v>0.59</v>
      </c>
      <c r="W915">
        <v>1.77</v>
      </c>
      <c r="X915">
        <v>0.35</v>
      </c>
      <c r="Y915">
        <v>1.37</v>
      </c>
      <c r="Z915">
        <v>2.5</v>
      </c>
      <c r="AA915">
        <v>3.36</v>
      </c>
      <c r="AB915">
        <v>1.88</v>
      </c>
      <c r="AC915">
        <v>1.52</v>
      </c>
      <c r="AD915">
        <v>5.03</v>
      </c>
      <c r="AE915">
        <v>1.1299999999999999</v>
      </c>
      <c r="AF915">
        <v>2.57</v>
      </c>
      <c r="AG915" t="str">
        <f>HYPERLINK("https://finance.naver.com/item/fchart.naver?code=017390", "서울가스 차트보기")</f>
        <v>서울가스 차트보기</v>
      </c>
    </row>
    <row r="916" spans="1:33" x14ac:dyDescent="0.3">
      <c r="A916" t="s">
        <v>3691</v>
      </c>
      <c r="B916" t="s">
        <v>55</v>
      </c>
      <c r="C916" t="s">
        <v>3692</v>
      </c>
      <c r="D916">
        <v>203232.71</v>
      </c>
      <c r="E916" t="s">
        <v>3693</v>
      </c>
      <c r="F916">
        <v>154.22999999999999</v>
      </c>
      <c r="G916">
        <v>3.2400000095367432</v>
      </c>
      <c r="H916">
        <v>248</v>
      </c>
      <c r="I916">
        <v>0</v>
      </c>
      <c r="J916" t="s">
        <v>3694</v>
      </c>
      <c r="K916">
        <v>39850</v>
      </c>
      <c r="L916">
        <v>38250</v>
      </c>
      <c r="M916">
        <v>-4.0199999999999996</v>
      </c>
      <c r="N916">
        <v>3.52</v>
      </c>
      <c r="O916">
        <v>-1.65</v>
      </c>
      <c r="P916">
        <v>13.36</v>
      </c>
      <c r="Q916">
        <v>-21.02</v>
      </c>
      <c r="R916">
        <v>-4.29</v>
      </c>
      <c r="S916">
        <v>5.37</v>
      </c>
      <c r="T916">
        <v>2.92</v>
      </c>
      <c r="U916">
        <v>1.71</v>
      </c>
      <c r="V916">
        <v>2.76</v>
      </c>
      <c r="W916">
        <v>4.76</v>
      </c>
      <c r="X916">
        <v>2.4700000000000002</v>
      </c>
      <c r="Y916">
        <v>2.39</v>
      </c>
      <c r="Z916">
        <v>1.21</v>
      </c>
      <c r="AA916">
        <v>0.96</v>
      </c>
      <c r="AB916">
        <v>4.84</v>
      </c>
      <c r="AC916">
        <v>4.42</v>
      </c>
      <c r="AD916">
        <v>1.74</v>
      </c>
      <c r="AE916">
        <v>2.25</v>
      </c>
      <c r="AF916">
        <v>2.57</v>
      </c>
      <c r="AG916" t="str">
        <f>HYPERLINK("https://finance.naver.com/item/fchart.naver?code=263750", "펄어비스 차트보기")</f>
        <v>펄어비스 차트보기</v>
      </c>
    </row>
    <row r="917" spans="1:33" x14ac:dyDescent="0.3">
      <c r="A917" t="s">
        <v>3695</v>
      </c>
      <c r="B917" t="s">
        <v>55</v>
      </c>
      <c r="C917" t="s">
        <v>3696</v>
      </c>
      <c r="D917">
        <v>1397157.24</v>
      </c>
      <c r="E917" t="s">
        <v>3697</v>
      </c>
      <c r="F917">
        <v>1.34</v>
      </c>
      <c r="G917">
        <v>0.99000000953674316</v>
      </c>
      <c r="H917">
        <v>2921</v>
      </c>
      <c r="I917">
        <v>1.919999957084656</v>
      </c>
      <c r="J917" t="s">
        <v>3698</v>
      </c>
      <c r="K917">
        <v>5310</v>
      </c>
      <c r="L917">
        <v>3905</v>
      </c>
      <c r="M917">
        <v>-26.46</v>
      </c>
      <c r="N917">
        <v>-3.46</v>
      </c>
      <c r="O917">
        <v>-6.71</v>
      </c>
      <c r="P917">
        <v>3.73</v>
      </c>
      <c r="Q917">
        <v>-6.43</v>
      </c>
      <c r="R917">
        <v>-10.64</v>
      </c>
      <c r="S917">
        <v>-1.51</v>
      </c>
      <c r="T917">
        <v>1.0900000000000001</v>
      </c>
      <c r="U917">
        <v>3.53</v>
      </c>
      <c r="V917">
        <v>2.19</v>
      </c>
      <c r="W917">
        <v>3.23</v>
      </c>
      <c r="X917">
        <v>1.77</v>
      </c>
      <c r="Y917">
        <v>2.3199999999999998</v>
      </c>
      <c r="Z917">
        <v>3.17</v>
      </c>
      <c r="AA917">
        <v>1.9</v>
      </c>
      <c r="AB917">
        <v>1.7</v>
      </c>
      <c r="AC917">
        <v>1.99</v>
      </c>
      <c r="AD917">
        <v>6.01</v>
      </c>
      <c r="AE917">
        <v>0.65</v>
      </c>
      <c r="AF917">
        <v>2.57</v>
      </c>
      <c r="AG917" t="str">
        <f>HYPERLINK("https://finance.naver.com/item/fchart.naver?code=005860", "한일사료 차트보기")</f>
        <v>한일사료 차트보기</v>
      </c>
    </row>
    <row r="918" spans="1:33" x14ac:dyDescent="0.3">
      <c r="A918" t="s">
        <v>3699</v>
      </c>
      <c r="B918" t="s">
        <v>34</v>
      </c>
      <c r="C918" t="s">
        <v>3700</v>
      </c>
      <c r="D918">
        <v>13736.1</v>
      </c>
      <c r="E918" t="s">
        <v>3701</v>
      </c>
      <c r="F918">
        <v>0</v>
      </c>
      <c r="G918">
        <v>2.119999885559082</v>
      </c>
      <c r="H918">
        <v>0</v>
      </c>
      <c r="I918">
        <v>1.370000004768372</v>
      </c>
      <c r="J918" t="s">
        <v>3702</v>
      </c>
      <c r="K918">
        <v>8500</v>
      </c>
      <c r="L918">
        <v>7310</v>
      </c>
      <c r="M918">
        <v>-14</v>
      </c>
      <c r="N918">
        <v>-5.8</v>
      </c>
      <c r="O918">
        <v>-0.12</v>
      </c>
      <c r="P918">
        <v>-2.86</v>
      </c>
      <c r="Q918">
        <v>7.65</v>
      </c>
      <c r="R918">
        <v>4.76</v>
      </c>
      <c r="S918">
        <v>-7.06</v>
      </c>
      <c r="T918">
        <v>1.87</v>
      </c>
      <c r="U918">
        <v>1.42</v>
      </c>
      <c r="V918">
        <v>2.21</v>
      </c>
      <c r="W918">
        <v>7.28</v>
      </c>
      <c r="X918">
        <v>1.3</v>
      </c>
      <c r="Y918">
        <v>1.1299999999999999</v>
      </c>
      <c r="Z918">
        <v>3.1</v>
      </c>
      <c r="AA918">
        <v>0.08</v>
      </c>
      <c r="AB918">
        <v>1.29</v>
      </c>
      <c r="AC918">
        <v>1.05</v>
      </c>
      <c r="AD918">
        <v>3.66</v>
      </c>
      <c r="AE918">
        <v>6.25</v>
      </c>
      <c r="AF918">
        <v>2.5716666666666672</v>
      </c>
      <c r="AG918" t="str">
        <f>HYPERLINK("https://finance.naver.com/item/fchart.naver?code=000230", "일동홀딩스 차트보기")</f>
        <v>일동홀딩스 차트보기</v>
      </c>
    </row>
    <row r="919" spans="1:33" x14ac:dyDescent="0.3">
      <c r="A919" t="s">
        <v>3703</v>
      </c>
      <c r="B919" t="s">
        <v>55</v>
      </c>
      <c r="C919" t="s">
        <v>3704</v>
      </c>
      <c r="D919">
        <v>56888.38</v>
      </c>
      <c r="E919" t="s">
        <v>3705</v>
      </c>
      <c r="F919">
        <v>23.07</v>
      </c>
      <c r="G919">
        <v>2.2000000476837158</v>
      </c>
      <c r="H919">
        <v>655</v>
      </c>
      <c r="I919">
        <v>0</v>
      </c>
      <c r="J919" t="s">
        <v>3706</v>
      </c>
      <c r="K919">
        <v>14880</v>
      </c>
      <c r="L919">
        <v>15110</v>
      </c>
      <c r="M919">
        <v>1.55</v>
      </c>
      <c r="N919">
        <v>-3.02</v>
      </c>
      <c r="O919">
        <v>14.86</v>
      </c>
      <c r="P919">
        <v>-7.0000000000000007E-2</v>
      </c>
      <c r="Q919">
        <v>-9.93</v>
      </c>
      <c r="R919">
        <v>8.4700000000000006</v>
      </c>
      <c r="S919">
        <v>5.56</v>
      </c>
      <c r="T919">
        <v>3.13</v>
      </c>
      <c r="U919">
        <v>2.46</v>
      </c>
      <c r="V919">
        <v>2.39</v>
      </c>
      <c r="W919">
        <v>3.3</v>
      </c>
      <c r="X919">
        <v>2.4700000000000002</v>
      </c>
      <c r="Y919">
        <v>2.83</v>
      </c>
      <c r="Z919">
        <v>0.96</v>
      </c>
      <c r="AA919">
        <v>6.04</v>
      </c>
      <c r="AB919">
        <v>0.03</v>
      </c>
      <c r="AC919">
        <v>3.01</v>
      </c>
      <c r="AD919">
        <v>3.43</v>
      </c>
      <c r="AE919">
        <v>1.96</v>
      </c>
      <c r="AF919">
        <v>2.5716666666666672</v>
      </c>
      <c r="AG919" t="str">
        <f>HYPERLINK("https://finance.naver.com/item/fchart.naver?code=251120", "바이오에프디엔씨 차트보기")</f>
        <v>바이오에프디엔씨 차트보기</v>
      </c>
    </row>
    <row r="920" spans="1:33" x14ac:dyDescent="0.3">
      <c r="A920" t="s">
        <v>3707</v>
      </c>
      <c r="B920" t="s">
        <v>55</v>
      </c>
      <c r="C920" t="s">
        <v>3708</v>
      </c>
      <c r="D920">
        <v>81247.899999999994</v>
      </c>
      <c r="E920" t="s">
        <v>3709</v>
      </c>
      <c r="F920">
        <v>0</v>
      </c>
      <c r="G920">
        <v>0.55000001192092896</v>
      </c>
      <c r="H920">
        <v>0</v>
      </c>
      <c r="I920">
        <v>0</v>
      </c>
      <c r="J920" t="s">
        <v>3710</v>
      </c>
      <c r="K920">
        <v>2215</v>
      </c>
      <c r="L920">
        <v>1600</v>
      </c>
      <c r="M920">
        <v>-27.77</v>
      </c>
      <c r="N920">
        <v>-7.67</v>
      </c>
      <c r="O920">
        <v>5.28</v>
      </c>
      <c r="P920">
        <v>0.12</v>
      </c>
      <c r="Q920">
        <v>-12.24</v>
      </c>
      <c r="R920">
        <v>-8.31</v>
      </c>
      <c r="S920">
        <v>-4.0199999999999996</v>
      </c>
      <c r="T920">
        <v>1.61</v>
      </c>
      <c r="U920">
        <v>1.56</v>
      </c>
      <c r="V920">
        <v>2.4</v>
      </c>
      <c r="W920">
        <v>3.63</v>
      </c>
      <c r="X920">
        <v>3.48</v>
      </c>
      <c r="Y920">
        <v>2.71</v>
      </c>
      <c r="Z920">
        <v>4.76</v>
      </c>
      <c r="AA920">
        <v>3.38</v>
      </c>
      <c r="AB920">
        <v>0.05</v>
      </c>
      <c r="AC920">
        <v>3.37</v>
      </c>
      <c r="AD920">
        <v>2.39</v>
      </c>
      <c r="AE920">
        <v>1.48</v>
      </c>
      <c r="AF920">
        <v>2.5716666666666672</v>
      </c>
      <c r="AG920" t="str">
        <f>HYPERLINK("https://finance.naver.com/item/fchart.naver?code=014470", "부방 차트보기")</f>
        <v>부방 차트보기</v>
      </c>
    </row>
    <row r="921" spans="1:33" x14ac:dyDescent="0.3">
      <c r="A921" t="s">
        <v>3711</v>
      </c>
      <c r="B921" t="s">
        <v>34</v>
      </c>
      <c r="C921" t="s">
        <v>3712</v>
      </c>
      <c r="D921">
        <v>8697.48</v>
      </c>
      <c r="E921" t="s">
        <v>3713</v>
      </c>
      <c r="F921">
        <v>3.12</v>
      </c>
      <c r="G921">
        <v>0.27000001072883612</v>
      </c>
      <c r="H921">
        <v>22269</v>
      </c>
      <c r="I921">
        <v>5.0399999618530273</v>
      </c>
      <c r="J921" t="s">
        <v>3714</v>
      </c>
      <c r="K921">
        <v>69900</v>
      </c>
      <c r="L921">
        <v>69400</v>
      </c>
      <c r="M921">
        <v>-0.72</v>
      </c>
      <c r="N921">
        <v>-2.39</v>
      </c>
      <c r="O921">
        <v>-6.94</v>
      </c>
      <c r="P921">
        <v>7.75</v>
      </c>
      <c r="Q921">
        <v>3.86</v>
      </c>
      <c r="R921">
        <v>1.6</v>
      </c>
      <c r="S921">
        <v>-1.43</v>
      </c>
      <c r="T921">
        <v>0.76</v>
      </c>
      <c r="U921">
        <v>1.5</v>
      </c>
      <c r="V921">
        <v>3.61</v>
      </c>
      <c r="W921">
        <v>1.53</v>
      </c>
      <c r="X921">
        <v>0.8</v>
      </c>
      <c r="Y921">
        <v>1.43</v>
      </c>
      <c r="Z921">
        <v>3.14</v>
      </c>
      <c r="AA921">
        <v>4.63</v>
      </c>
      <c r="AB921">
        <v>2.15</v>
      </c>
      <c r="AC921">
        <v>2.52</v>
      </c>
      <c r="AD921">
        <v>2</v>
      </c>
      <c r="AE921">
        <v>1</v>
      </c>
      <c r="AF921">
        <v>2.5733333333333328</v>
      </c>
      <c r="AG921" t="str">
        <f>HYPERLINK("https://finance.naver.com/item/fchart.naver?code=000070", "삼양홀딩스 차트보기")</f>
        <v>삼양홀딩스 차트보기</v>
      </c>
    </row>
    <row r="922" spans="1:33" x14ac:dyDescent="0.3">
      <c r="A922" t="s">
        <v>3715</v>
      </c>
      <c r="B922" t="s">
        <v>34</v>
      </c>
      <c r="C922" t="s">
        <v>3716</v>
      </c>
      <c r="D922">
        <v>14128.48</v>
      </c>
      <c r="E922" t="s">
        <v>3717</v>
      </c>
      <c r="F922">
        <v>0</v>
      </c>
      <c r="G922">
        <v>0.62000000476837158</v>
      </c>
      <c r="H922">
        <v>0</v>
      </c>
      <c r="I922">
        <v>0</v>
      </c>
      <c r="J922" t="s">
        <v>3718</v>
      </c>
      <c r="K922">
        <v>6300</v>
      </c>
      <c r="L922">
        <v>5130</v>
      </c>
      <c r="M922">
        <v>-18.57</v>
      </c>
      <c r="N922">
        <v>3.64</v>
      </c>
      <c r="O922">
        <v>-2.7</v>
      </c>
      <c r="P922">
        <v>-2.2200000000000002</v>
      </c>
      <c r="Q922">
        <v>-8.19</v>
      </c>
      <c r="R922">
        <v>2.31</v>
      </c>
      <c r="S922">
        <v>-10.11</v>
      </c>
      <c r="T922">
        <v>2.61</v>
      </c>
      <c r="U922">
        <v>1.02</v>
      </c>
      <c r="V922">
        <v>1.71</v>
      </c>
      <c r="W922">
        <v>3.7</v>
      </c>
      <c r="X922">
        <v>3.17</v>
      </c>
      <c r="Y922">
        <v>1.41</v>
      </c>
      <c r="Z922">
        <v>1.39</v>
      </c>
      <c r="AA922">
        <v>2.65</v>
      </c>
      <c r="AB922">
        <v>1.3</v>
      </c>
      <c r="AC922">
        <v>2.21</v>
      </c>
      <c r="AD922">
        <v>0.73</v>
      </c>
      <c r="AE922">
        <v>7.17</v>
      </c>
      <c r="AF922">
        <v>2.5750000000000002</v>
      </c>
      <c r="AG922" t="str">
        <f>HYPERLINK("https://finance.naver.com/item/fchart.naver?code=139990", "아주스틸 차트보기")</f>
        <v>아주스틸 차트보기</v>
      </c>
    </row>
    <row r="923" spans="1:33" x14ac:dyDescent="0.3">
      <c r="A923" t="s">
        <v>3719</v>
      </c>
      <c r="B923" t="s">
        <v>55</v>
      </c>
      <c r="C923" t="s">
        <v>3720</v>
      </c>
      <c r="D923">
        <v>63561.48</v>
      </c>
      <c r="E923" t="s">
        <v>3721</v>
      </c>
      <c r="F923">
        <v>0</v>
      </c>
      <c r="G923">
        <v>0.33000001311302191</v>
      </c>
      <c r="H923">
        <v>0</v>
      </c>
      <c r="I923">
        <v>0</v>
      </c>
      <c r="J923" t="s">
        <v>3722</v>
      </c>
      <c r="K923">
        <v>2410</v>
      </c>
      <c r="L923">
        <v>1661</v>
      </c>
      <c r="M923">
        <v>-31.08</v>
      </c>
      <c r="N923">
        <v>-1.1299999999999999</v>
      </c>
      <c r="O923">
        <v>-2.87</v>
      </c>
      <c r="P923">
        <v>-2.23</v>
      </c>
      <c r="Q923">
        <v>-4.92</v>
      </c>
      <c r="R923">
        <v>-7.9</v>
      </c>
      <c r="S923">
        <v>-10</v>
      </c>
      <c r="T923">
        <v>1.87</v>
      </c>
      <c r="U923">
        <v>1.47</v>
      </c>
      <c r="V923">
        <v>1.81</v>
      </c>
      <c r="W923">
        <v>5.0599999999999996</v>
      </c>
      <c r="X923">
        <v>1.86</v>
      </c>
      <c r="Y923">
        <v>1.55</v>
      </c>
      <c r="Z923">
        <v>0.6</v>
      </c>
      <c r="AA923">
        <v>1.95</v>
      </c>
      <c r="AB923">
        <v>1.23</v>
      </c>
      <c r="AC923">
        <v>0.97</v>
      </c>
      <c r="AD923">
        <v>4.25</v>
      </c>
      <c r="AE923">
        <v>6.45</v>
      </c>
      <c r="AF923">
        <v>2.5750000000000002</v>
      </c>
      <c r="AG923" t="str">
        <f>HYPERLINK("https://finance.naver.com/item/fchart.naver?code=115160", "휴맥스 차트보기")</f>
        <v>휴맥스 차트보기</v>
      </c>
    </row>
    <row r="924" spans="1:33" x14ac:dyDescent="0.3">
      <c r="A924" t="s">
        <v>3723</v>
      </c>
      <c r="B924" t="s">
        <v>34</v>
      </c>
      <c r="C924" t="s">
        <v>3724</v>
      </c>
      <c r="D924">
        <v>151796.38</v>
      </c>
      <c r="E924" t="s">
        <v>3725</v>
      </c>
      <c r="F924">
        <v>7.39</v>
      </c>
      <c r="G924">
        <v>0.25999999046325678</v>
      </c>
      <c r="H924">
        <v>3920</v>
      </c>
      <c r="I924">
        <v>2.589999914169312</v>
      </c>
      <c r="J924" t="s">
        <v>3726</v>
      </c>
      <c r="K924">
        <v>27150</v>
      </c>
      <c r="L924">
        <v>28950</v>
      </c>
      <c r="M924">
        <v>6.63</v>
      </c>
      <c r="N924">
        <v>5.85</v>
      </c>
      <c r="O924">
        <v>-1.06</v>
      </c>
      <c r="P924">
        <v>-0.52</v>
      </c>
      <c r="Q924">
        <v>-7.63</v>
      </c>
      <c r="R924">
        <v>15.34</v>
      </c>
      <c r="S924">
        <v>-1.47</v>
      </c>
      <c r="T924">
        <v>2.5299999999999998</v>
      </c>
      <c r="U924">
        <v>1.07</v>
      </c>
      <c r="V924">
        <v>1.78</v>
      </c>
      <c r="W924">
        <v>2.14</v>
      </c>
      <c r="X924">
        <v>2.0499999999999998</v>
      </c>
      <c r="Y924">
        <v>1.82</v>
      </c>
      <c r="Z924">
        <v>2.31</v>
      </c>
      <c r="AA924">
        <v>0.99</v>
      </c>
      <c r="AB924">
        <v>0.28999999999999998</v>
      </c>
      <c r="AC924">
        <v>3.57</v>
      </c>
      <c r="AD924">
        <v>7.48</v>
      </c>
      <c r="AE924">
        <v>0.81</v>
      </c>
      <c r="AF924">
        <v>2.5750000000000002</v>
      </c>
      <c r="AG924" t="str">
        <f>HYPERLINK("https://finance.naver.com/item/fchart.naver?code=000880", "한화 차트보기")</f>
        <v>한화 차트보기</v>
      </c>
    </row>
    <row r="925" spans="1:33" x14ac:dyDescent="0.3">
      <c r="A925" t="s">
        <v>3727</v>
      </c>
      <c r="B925" t="s">
        <v>55</v>
      </c>
      <c r="C925" t="s">
        <v>3728</v>
      </c>
      <c r="D925">
        <v>394370.14</v>
      </c>
      <c r="E925" t="s">
        <v>3729</v>
      </c>
      <c r="F925">
        <v>0</v>
      </c>
      <c r="G925">
        <v>4</v>
      </c>
      <c r="H925">
        <v>0</v>
      </c>
      <c r="I925">
        <v>0</v>
      </c>
      <c r="J925" t="s">
        <v>3730</v>
      </c>
      <c r="K925">
        <v>9330</v>
      </c>
      <c r="L925">
        <v>7100</v>
      </c>
      <c r="M925">
        <v>-23.9</v>
      </c>
      <c r="N925">
        <v>-5.96</v>
      </c>
      <c r="O925">
        <v>5.23</v>
      </c>
      <c r="P925">
        <v>-0.85</v>
      </c>
      <c r="Q925">
        <v>-14.39</v>
      </c>
      <c r="R925">
        <v>-4.55</v>
      </c>
      <c r="S925">
        <v>-8.14</v>
      </c>
      <c r="T925">
        <v>2.67</v>
      </c>
      <c r="U925">
        <v>7.73</v>
      </c>
      <c r="V925">
        <v>3.05</v>
      </c>
      <c r="W925">
        <v>2.79</v>
      </c>
      <c r="X925">
        <v>1.5</v>
      </c>
      <c r="Y925">
        <v>2</v>
      </c>
      <c r="Z925">
        <v>2.23</v>
      </c>
      <c r="AA925">
        <v>0.68</v>
      </c>
      <c r="AB925">
        <v>0.28000000000000003</v>
      </c>
      <c r="AC925">
        <v>5.16</v>
      </c>
      <c r="AD925">
        <v>3.03</v>
      </c>
      <c r="AE925">
        <v>4.07</v>
      </c>
      <c r="AF925">
        <v>2.5750000000000002</v>
      </c>
      <c r="AG925" t="str">
        <f>HYPERLINK("https://finance.naver.com/item/fchart.naver?code=156100", "엘앤케이바이오 차트보기")</f>
        <v>엘앤케이바이오 차트보기</v>
      </c>
    </row>
    <row r="926" spans="1:33" x14ac:dyDescent="0.3">
      <c r="A926" t="s">
        <v>3731</v>
      </c>
      <c r="B926" t="s">
        <v>55</v>
      </c>
      <c r="C926" t="s">
        <v>3732</v>
      </c>
      <c r="D926">
        <v>208587.57</v>
      </c>
      <c r="E926" t="s">
        <v>3733</v>
      </c>
      <c r="F926">
        <v>4.22</v>
      </c>
      <c r="G926">
        <v>0.34000000357627869</v>
      </c>
      <c r="H926">
        <v>502</v>
      </c>
      <c r="I926">
        <v>7.5500001907348633</v>
      </c>
      <c r="J926" t="s">
        <v>3734</v>
      </c>
      <c r="K926">
        <v>3150</v>
      </c>
      <c r="L926">
        <v>2120</v>
      </c>
      <c r="M926">
        <v>-32.700000000000003</v>
      </c>
      <c r="N926">
        <v>-5.36</v>
      </c>
      <c r="O926">
        <v>-1.94</v>
      </c>
      <c r="P926">
        <v>6.15</v>
      </c>
      <c r="Q926">
        <v>-16.100000000000001</v>
      </c>
      <c r="R926">
        <v>-5.64</v>
      </c>
      <c r="S926">
        <v>-8.58</v>
      </c>
      <c r="T926">
        <v>3</v>
      </c>
      <c r="U926">
        <v>6.04</v>
      </c>
      <c r="V926">
        <v>2.29</v>
      </c>
      <c r="W926">
        <v>4.2</v>
      </c>
      <c r="X926">
        <v>1.91</v>
      </c>
      <c r="Y926">
        <v>2.21</v>
      </c>
      <c r="Z926">
        <v>1.79</v>
      </c>
      <c r="AA926">
        <v>0.32</v>
      </c>
      <c r="AB926">
        <v>2.69</v>
      </c>
      <c r="AC926">
        <v>3.83</v>
      </c>
      <c r="AD926">
        <v>2.95</v>
      </c>
      <c r="AE926">
        <v>3.88</v>
      </c>
      <c r="AF926">
        <v>2.5766666666666662</v>
      </c>
      <c r="AG926" t="str">
        <f>HYPERLINK("https://finance.naver.com/item/fchart.naver?code=033290", "코웰패션 차트보기")</f>
        <v>코웰패션 차트보기</v>
      </c>
    </row>
    <row r="927" spans="1:33" x14ac:dyDescent="0.3">
      <c r="A927" t="s">
        <v>3735</v>
      </c>
      <c r="B927" t="s">
        <v>34</v>
      </c>
      <c r="C927" t="s">
        <v>3736</v>
      </c>
      <c r="D927">
        <v>36539.949999999997</v>
      </c>
      <c r="E927" t="s">
        <v>3737</v>
      </c>
      <c r="J927" t="s">
        <v>3738</v>
      </c>
      <c r="K927">
        <v>4995</v>
      </c>
      <c r="L927">
        <v>4410</v>
      </c>
      <c r="M927">
        <v>-11.71</v>
      </c>
      <c r="N927">
        <v>-8.7899999999999991</v>
      </c>
      <c r="O927">
        <v>-2.2200000000000002</v>
      </c>
      <c r="P927">
        <v>-3.41</v>
      </c>
      <c r="Q927">
        <v>-0.39</v>
      </c>
      <c r="R927">
        <v>1.77</v>
      </c>
      <c r="S927">
        <v>-0.2</v>
      </c>
      <c r="T927">
        <v>1.66</v>
      </c>
      <c r="U927">
        <v>0.9</v>
      </c>
      <c r="V927">
        <v>0.96</v>
      </c>
      <c r="W927">
        <v>1.25</v>
      </c>
      <c r="X927">
        <v>0.49</v>
      </c>
      <c r="Y927">
        <v>0.91</v>
      </c>
      <c r="Z927">
        <v>5.3</v>
      </c>
      <c r="AA927">
        <v>2.4700000000000002</v>
      </c>
      <c r="AB927">
        <v>3.55</v>
      </c>
      <c r="AC927">
        <v>0.31</v>
      </c>
      <c r="AD927">
        <v>3.61</v>
      </c>
      <c r="AE927">
        <v>0.22</v>
      </c>
      <c r="AF927">
        <v>2.5766666666666671</v>
      </c>
      <c r="AG927" t="str">
        <f>HYPERLINK("https://finance.naver.com/item/fchart.naver?code=417310", "코람코더원리츠 차트보기")</f>
        <v>코람코더원리츠 차트보기</v>
      </c>
    </row>
    <row r="928" spans="1:33" x14ac:dyDescent="0.3">
      <c r="A928" t="s">
        <v>3739</v>
      </c>
      <c r="B928" t="s">
        <v>34</v>
      </c>
      <c r="C928" t="s">
        <v>3740</v>
      </c>
      <c r="D928">
        <v>14471.48</v>
      </c>
      <c r="E928" t="s">
        <v>3741</v>
      </c>
      <c r="F928">
        <v>10.47</v>
      </c>
      <c r="G928">
        <v>0.70999997854232788</v>
      </c>
      <c r="H928">
        <v>1611</v>
      </c>
      <c r="I928">
        <v>2.9600000381469731</v>
      </c>
      <c r="J928" t="s">
        <v>3742</v>
      </c>
      <c r="K928">
        <v>17840</v>
      </c>
      <c r="L928">
        <v>16870</v>
      </c>
      <c r="M928">
        <v>-5.44</v>
      </c>
      <c r="N928">
        <v>3.05</v>
      </c>
      <c r="O928">
        <v>-3.76</v>
      </c>
      <c r="P928">
        <v>-2.4900000000000002</v>
      </c>
      <c r="Q928">
        <v>-6.9</v>
      </c>
      <c r="R928">
        <v>-0.37</v>
      </c>
      <c r="S928">
        <v>3.92</v>
      </c>
      <c r="T928">
        <v>1.04</v>
      </c>
      <c r="U928">
        <v>0.77</v>
      </c>
      <c r="V928">
        <v>1.2</v>
      </c>
      <c r="W928">
        <v>1.98</v>
      </c>
      <c r="X928">
        <v>1.1100000000000001</v>
      </c>
      <c r="Y928">
        <v>2.2000000000000002</v>
      </c>
      <c r="Z928">
        <v>2.93</v>
      </c>
      <c r="AA928">
        <v>4.88</v>
      </c>
      <c r="AB928">
        <v>2.08</v>
      </c>
      <c r="AC928">
        <v>3.48</v>
      </c>
      <c r="AD928">
        <v>0.33</v>
      </c>
      <c r="AE928">
        <v>1.78</v>
      </c>
      <c r="AF928">
        <v>2.58</v>
      </c>
      <c r="AG928" t="str">
        <f>HYPERLINK("https://finance.naver.com/item/fchart.naver?code=272550", "삼양패키징 차트보기")</f>
        <v>삼양패키징 차트보기</v>
      </c>
    </row>
    <row r="929" spans="1:33" x14ac:dyDescent="0.3">
      <c r="A929" t="s">
        <v>3743</v>
      </c>
      <c r="B929" t="s">
        <v>34</v>
      </c>
      <c r="C929" t="s">
        <v>3744</v>
      </c>
      <c r="D929">
        <v>369382.24</v>
      </c>
      <c r="E929" t="s">
        <v>3745</v>
      </c>
      <c r="F929">
        <v>84.83</v>
      </c>
      <c r="G929">
        <v>3.7999999523162842</v>
      </c>
      <c r="H929">
        <v>60</v>
      </c>
      <c r="I929">
        <v>0</v>
      </c>
      <c r="J929" t="s">
        <v>3746</v>
      </c>
      <c r="K929">
        <v>5590</v>
      </c>
      <c r="L929">
        <v>5090</v>
      </c>
      <c r="M929">
        <v>-8.94</v>
      </c>
      <c r="N929">
        <v>2.21</v>
      </c>
      <c r="O929">
        <v>-1.74</v>
      </c>
      <c r="P929">
        <v>-5.09</v>
      </c>
      <c r="Q929">
        <v>8.94</v>
      </c>
      <c r="R929">
        <v>-6.76</v>
      </c>
      <c r="S929">
        <v>-6.67</v>
      </c>
      <c r="T929">
        <v>2.81</v>
      </c>
      <c r="U929">
        <v>1.99</v>
      </c>
      <c r="V929">
        <v>2.0099999999999998</v>
      </c>
      <c r="W929">
        <v>10.17</v>
      </c>
      <c r="X929">
        <v>1.3</v>
      </c>
      <c r="Y929">
        <v>1.28</v>
      </c>
      <c r="Z929">
        <v>0.79</v>
      </c>
      <c r="AA929">
        <v>0.87</v>
      </c>
      <c r="AB929">
        <v>2.5299999999999998</v>
      </c>
      <c r="AC929">
        <v>0.88</v>
      </c>
      <c r="AD929">
        <v>5.2</v>
      </c>
      <c r="AE929">
        <v>5.21</v>
      </c>
      <c r="AF929">
        <v>2.58</v>
      </c>
      <c r="AG929" t="str">
        <f>HYPERLINK("https://finance.naver.com/item/fchart.naver?code=005690", "파미셀 차트보기")</f>
        <v>파미셀 차트보기</v>
      </c>
    </row>
    <row r="930" spans="1:33" x14ac:dyDescent="0.3">
      <c r="A930" t="s">
        <v>3747</v>
      </c>
      <c r="B930" t="s">
        <v>55</v>
      </c>
      <c r="C930" t="s">
        <v>3748</v>
      </c>
      <c r="D930">
        <v>775772.29</v>
      </c>
      <c r="E930" t="s">
        <v>3749</v>
      </c>
      <c r="F930">
        <v>7.45</v>
      </c>
      <c r="G930">
        <v>1.120000004768372</v>
      </c>
      <c r="H930">
        <v>671</v>
      </c>
      <c r="I930">
        <v>1</v>
      </c>
      <c r="J930" t="s">
        <v>3750</v>
      </c>
      <c r="K930">
        <v>5850</v>
      </c>
      <c r="L930">
        <v>5000</v>
      </c>
      <c r="M930">
        <v>-14.53</v>
      </c>
      <c r="N930">
        <v>9.17</v>
      </c>
      <c r="O930">
        <v>1.22</v>
      </c>
      <c r="P930">
        <v>-1.0900000000000001</v>
      </c>
      <c r="Q930">
        <v>-12.36</v>
      </c>
      <c r="R930">
        <v>-3.66</v>
      </c>
      <c r="S930">
        <v>-5.7</v>
      </c>
      <c r="T930">
        <v>2</v>
      </c>
      <c r="U930">
        <v>2.09</v>
      </c>
      <c r="V930">
        <v>2.69</v>
      </c>
      <c r="W930">
        <v>3.9</v>
      </c>
      <c r="X930">
        <v>2.27</v>
      </c>
      <c r="Y930">
        <v>1.1100000000000001</v>
      </c>
      <c r="Z930">
        <v>4.58</v>
      </c>
      <c r="AA930">
        <v>0.57999999999999996</v>
      </c>
      <c r="AB930">
        <v>0.41</v>
      </c>
      <c r="AC930">
        <v>3.17</v>
      </c>
      <c r="AD930">
        <v>1.61</v>
      </c>
      <c r="AE930">
        <v>5.14</v>
      </c>
      <c r="AF930">
        <v>2.581666666666667</v>
      </c>
      <c r="AG930" t="str">
        <f>HYPERLINK("https://finance.naver.com/item/fchart.naver?code=050890", "쏠리드 차트보기")</f>
        <v>쏠리드 차트보기</v>
      </c>
    </row>
    <row r="931" spans="1:33" x14ac:dyDescent="0.3">
      <c r="A931" t="s">
        <v>3751</v>
      </c>
      <c r="B931" t="s">
        <v>34</v>
      </c>
      <c r="C931" t="s">
        <v>3752</v>
      </c>
      <c r="D931">
        <v>115458.81</v>
      </c>
      <c r="E931" t="s">
        <v>3753</v>
      </c>
      <c r="F931">
        <v>8.5299999999999994</v>
      </c>
      <c r="G931">
        <v>0.41999998688697809</v>
      </c>
      <c r="H931">
        <v>1452</v>
      </c>
      <c r="I931">
        <v>2.0199999809265141</v>
      </c>
      <c r="J931" t="s">
        <v>3754</v>
      </c>
      <c r="K931">
        <v>13960</v>
      </c>
      <c r="L931">
        <v>12380</v>
      </c>
      <c r="M931">
        <v>-11.32</v>
      </c>
      <c r="N931">
        <v>-6.07</v>
      </c>
      <c r="O931">
        <v>3.41</v>
      </c>
      <c r="P931">
        <v>17.649999999999999</v>
      </c>
      <c r="Q931">
        <v>-7.67</v>
      </c>
      <c r="R931">
        <v>-2.94</v>
      </c>
      <c r="S931">
        <v>-7.1</v>
      </c>
      <c r="T931">
        <v>3.92</v>
      </c>
      <c r="U931">
        <v>3.14</v>
      </c>
      <c r="V931">
        <v>4.17</v>
      </c>
      <c r="W931">
        <v>3.36</v>
      </c>
      <c r="X931">
        <v>2.0299999999999998</v>
      </c>
      <c r="Y931">
        <v>1.45</v>
      </c>
      <c r="Z931">
        <v>1.55</v>
      </c>
      <c r="AA931">
        <v>1.0900000000000001</v>
      </c>
      <c r="AB931">
        <v>4.2300000000000004</v>
      </c>
      <c r="AC931">
        <v>2.2799999999999998</v>
      </c>
      <c r="AD931">
        <v>1.45</v>
      </c>
      <c r="AE931">
        <v>4.9000000000000004</v>
      </c>
      <c r="AF931">
        <v>2.583333333333333</v>
      </c>
      <c r="AG931" t="str">
        <f>HYPERLINK("https://finance.naver.com/item/fchart.naver?code=004430", "송원산업 차트보기")</f>
        <v>송원산업 차트보기</v>
      </c>
    </row>
    <row r="932" spans="1:33" x14ac:dyDescent="0.3">
      <c r="A932" t="s">
        <v>3755</v>
      </c>
      <c r="B932" t="s">
        <v>55</v>
      </c>
      <c r="C932" t="s">
        <v>3756</v>
      </c>
      <c r="D932">
        <v>77131</v>
      </c>
      <c r="E932" t="s">
        <v>3757</v>
      </c>
      <c r="F932">
        <v>0</v>
      </c>
      <c r="G932">
        <v>0.34999999403953552</v>
      </c>
      <c r="H932">
        <v>0</v>
      </c>
      <c r="I932">
        <v>0</v>
      </c>
      <c r="J932" t="s">
        <v>3758</v>
      </c>
      <c r="K932">
        <v>82900</v>
      </c>
      <c r="L932">
        <v>54500</v>
      </c>
      <c r="M932">
        <v>-34.26</v>
      </c>
      <c r="N932">
        <v>-11.38</v>
      </c>
      <c r="O932">
        <v>-8.84</v>
      </c>
      <c r="P932">
        <v>-1.68</v>
      </c>
      <c r="Q932">
        <v>-5.0999999999999996</v>
      </c>
      <c r="R932">
        <v>-11.47</v>
      </c>
      <c r="S932">
        <v>-4.54</v>
      </c>
      <c r="T932">
        <v>4.53</v>
      </c>
      <c r="U932">
        <v>1.83</v>
      </c>
      <c r="V932">
        <v>2.87</v>
      </c>
      <c r="W932">
        <v>2.72</v>
      </c>
      <c r="X932">
        <v>3.35</v>
      </c>
      <c r="Y932">
        <v>1.99</v>
      </c>
      <c r="Z932">
        <v>2.5099999999999998</v>
      </c>
      <c r="AA932">
        <v>4.83</v>
      </c>
      <c r="AB932">
        <v>0.59</v>
      </c>
      <c r="AC932">
        <v>1.87</v>
      </c>
      <c r="AD932">
        <v>3.42</v>
      </c>
      <c r="AE932">
        <v>2.2799999999999998</v>
      </c>
      <c r="AF932">
        <v>2.583333333333333</v>
      </c>
      <c r="AG932" t="str">
        <f>HYPERLINK("https://finance.naver.com/item/fchart.naver?code=035760", "CJ ENM 차트보기")</f>
        <v>CJ ENM 차트보기</v>
      </c>
    </row>
    <row r="933" spans="1:33" x14ac:dyDescent="0.3">
      <c r="A933" t="s">
        <v>3759</v>
      </c>
      <c r="B933" t="s">
        <v>55</v>
      </c>
      <c r="C933" t="s">
        <v>3760</v>
      </c>
      <c r="D933">
        <v>74151.48</v>
      </c>
      <c r="E933" t="s">
        <v>3761</v>
      </c>
      <c r="F933">
        <v>23.02</v>
      </c>
      <c r="G933">
        <v>4.5799999237060547</v>
      </c>
      <c r="H933">
        <v>7308</v>
      </c>
      <c r="I933">
        <v>1.779999971389771</v>
      </c>
      <c r="J933" t="s">
        <v>3762</v>
      </c>
      <c r="K933">
        <v>268500</v>
      </c>
      <c r="L933">
        <v>168200</v>
      </c>
      <c r="M933">
        <v>-37.36</v>
      </c>
      <c r="N933">
        <v>-2.94</v>
      </c>
      <c r="O933">
        <v>-3.89</v>
      </c>
      <c r="P933">
        <v>-2.58</v>
      </c>
      <c r="Q933">
        <v>-2.88</v>
      </c>
      <c r="R933">
        <v>-14.5</v>
      </c>
      <c r="S933">
        <v>-13.6</v>
      </c>
      <c r="T933">
        <v>3.56</v>
      </c>
      <c r="U933">
        <v>2.97</v>
      </c>
      <c r="V933">
        <v>2.96</v>
      </c>
      <c r="W933">
        <v>4.63</v>
      </c>
      <c r="X933">
        <v>2.7</v>
      </c>
      <c r="Y933">
        <v>2.09</v>
      </c>
      <c r="Z933">
        <v>0.83</v>
      </c>
      <c r="AA933">
        <v>1.31</v>
      </c>
      <c r="AB933">
        <v>0.87</v>
      </c>
      <c r="AC933">
        <v>0.62</v>
      </c>
      <c r="AD933">
        <v>5.37</v>
      </c>
      <c r="AE933">
        <v>6.51</v>
      </c>
      <c r="AF933">
        <v>2.585</v>
      </c>
      <c r="AG933" t="str">
        <f>HYPERLINK("https://finance.naver.com/item/fchart.naver?code=058470", "리노공업 차트보기")</f>
        <v>리노공업 차트보기</v>
      </c>
    </row>
    <row r="934" spans="1:33" x14ac:dyDescent="0.3">
      <c r="A934" t="s">
        <v>3763</v>
      </c>
      <c r="B934" t="s">
        <v>55</v>
      </c>
      <c r="C934" t="s">
        <v>3764</v>
      </c>
      <c r="D934">
        <v>186779.19</v>
      </c>
      <c r="E934" t="s">
        <v>3765</v>
      </c>
      <c r="F934">
        <v>6.46</v>
      </c>
      <c r="G934">
        <v>0.2099999934434891</v>
      </c>
      <c r="H934">
        <v>80</v>
      </c>
      <c r="I934">
        <v>0</v>
      </c>
      <c r="J934" t="s">
        <v>3766</v>
      </c>
      <c r="K934">
        <v>626</v>
      </c>
      <c r="L934">
        <v>517</v>
      </c>
      <c r="M934">
        <v>-17.41</v>
      </c>
      <c r="N934">
        <v>-3</v>
      </c>
      <c r="O934">
        <v>-1.68</v>
      </c>
      <c r="P934">
        <v>-22.82</v>
      </c>
      <c r="Q934">
        <v>-0.97</v>
      </c>
      <c r="R934">
        <v>11.37</v>
      </c>
      <c r="S934">
        <v>-11.37</v>
      </c>
      <c r="T934">
        <v>2.65</v>
      </c>
      <c r="U934">
        <v>1.96</v>
      </c>
      <c r="V934">
        <v>3.96</v>
      </c>
      <c r="W934">
        <v>3.69</v>
      </c>
      <c r="X934">
        <v>3.69</v>
      </c>
      <c r="Y934">
        <v>2.57</v>
      </c>
      <c r="Z934">
        <v>1.1299999999999999</v>
      </c>
      <c r="AA934">
        <v>0.86</v>
      </c>
      <c r="AB934">
        <v>5.76</v>
      </c>
      <c r="AC934">
        <v>0.26</v>
      </c>
      <c r="AD934">
        <v>3.08</v>
      </c>
      <c r="AE934">
        <v>4.42</v>
      </c>
      <c r="AF934">
        <v>2.585</v>
      </c>
      <c r="AG934" t="str">
        <f>HYPERLINK("https://finance.naver.com/item/fchart.naver?code=109960", "AP헬스케어 차트보기")</f>
        <v>AP헬스케어 차트보기</v>
      </c>
    </row>
    <row r="935" spans="1:33" x14ac:dyDescent="0.3">
      <c r="A935" t="s">
        <v>3767</v>
      </c>
      <c r="B935" t="s">
        <v>55</v>
      </c>
      <c r="C935" t="s">
        <v>3768</v>
      </c>
      <c r="D935">
        <v>651501.05000000005</v>
      </c>
      <c r="E935" t="s">
        <v>3769</v>
      </c>
      <c r="F935">
        <v>0</v>
      </c>
      <c r="G935">
        <v>5.0500001907348633</v>
      </c>
      <c r="H935">
        <v>0</v>
      </c>
      <c r="I935">
        <v>0</v>
      </c>
      <c r="J935" t="s">
        <v>3770</v>
      </c>
      <c r="K935">
        <v>4565</v>
      </c>
      <c r="L935">
        <v>2610</v>
      </c>
      <c r="M935">
        <v>-42.83</v>
      </c>
      <c r="N935">
        <v>2.35</v>
      </c>
      <c r="O935">
        <v>-5.0599999999999996</v>
      </c>
      <c r="P935">
        <v>-5.71</v>
      </c>
      <c r="Q935">
        <v>-5.44</v>
      </c>
      <c r="R935">
        <v>-12.5</v>
      </c>
      <c r="S935">
        <v>-9.1999999999999993</v>
      </c>
      <c r="T935">
        <v>3.58</v>
      </c>
      <c r="U935">
        <v>2.31</v>
      </c>
      <c r="V935">
        <v>2.2599999999999998</v>
      </c>
      <c r="W935">
        <v>3.03</v>
      </c>
      <c r="X935">
        <v>2.4900000000000002</v>
      </c>
      <c r="Y935">
        <v>2.77</v>
      </c>
      <c r="Z935">
        <v>0.66</v>
      </c>
      <c r="AA935">
        <v>2.19</v>
      </c>
      <c r="AB935">
        <v>2.5299999999999998</v>
      </c>
      <c r="AC935">
        <v>1.8</v>
      </c>
      <c r="AD935">
        <v>5.0199999999999996</v>
      </c>
      <c r="AE935">
        <v>3.32</v>
      </c>
      <c r="AF935">
        <v>2.586666666666666</v>
      </c>
      <c r="AG935" t="str">
        <f>HYPERLINK("https://finance.naver.com/item/fchart.naver?code=215600", "신라젠 차트보기")</f>
        <v>신라젠 차트보기</v>
      </c>
    </row>
    <row r="936" spans="1:33" x14ac:dyDescent="0.3">
      <c r="A936" t="s">
        <v>3771</v>
      </c>
      <c r="B936" t="s">
        <v>55</v>
      </c>
      <c r="C936" t="s">
        <v>3772</v>
      </c>
      <c r="D936">
        <v>416410</v>
      </c>
      <c r="E936" t="s">
        <v>3773</v>
      </c>
      <c r="F936">
        <v>15.56</v>
      </c>
      <c r="G936">
        <v>7.0300002098083496</v>
      </c>
      <c r="H936">
        <v>3510</v>
      </c>
      <c r="I936">
        <v>0.92000001668930054</v>
      </c>
      <c r="J936" t="s">
        <v>3774</v>
      </c>
      <c r="K936">
        <v>67300</v>
      </c>
      <c r="L936">
        <v>54600</v>
      </c>
      <c r="M936">
        <v>-18.87</v>
      </c>
      <c r="N936">
        <v>6.23</v>
      </c>
      <c r="O936">
        <v>-8.32</v>
      </c>
      <c r="P936">
        <v>7.99</v>
      </c>
      <c r="Q936">
        <v>-26.47</v>
      </c>
      <c r="R936">
        <v>-10.45</v>
      </c>
      <c r="S936">
        <v>25</v>
      </c>
      <c r="T936">
        <v>6.53</v>
      </c>
      <c r="U936">
        <v>3.38</v>
      </c>
      <c r="V936">
        <v>4.87</v>
      </c>
      <c r="W936">
        <v>5.48</v>
      </c>
      <c r="X936">
        <v>5.45</v>
      </c>
      <c r="Y936">
        <v>6.71</v>
      </c>
      <c r="Z936">
        <v>0.95</v>
      </c>
      <c r="AA936">
        <v>2.46</v>
      </c>
      <c r="AB936">
        <v>1.64</v>
      </c>
      <c r="AC936">
        <v>4.83</v>
      </c>
      <c r="AD936">
        <v>1.92</v>
      </c>
      <c r="AE936">
        <v>3.73</v>
      </c>
      <c r="AF936">
        <v>2.5883333333333329</v>
      </c>
      <c r="AG936" t="str">
        <f>HYPERLINK("https://finance.naver.com/item/fchart.naver?code=033100", "제룡전기 차트보기")</f>
        <v>제룡전기 차트보기</v>
      </c>
    </row>
    <row r="937" spans="1:33" x14ac:dyDescent="0.3">
      <c r="A937" t="s">
        <v>3775</v>
      </c>
      <c r="B937" t="s">
        <v>55</v>
      </c>
      <c r="C937" t="s">
        <v>3776</v>
      </c>
      <c r="D937">
        <v>488196.1</v>
      </c>
      <c r="E937" t="s">
        <v>3777</v>
      </c>
      <c r="F937">
        <v>4.1399999999999997</v>
      </c>
      <c r="G937">
        <v>0.80000001192092896</v>
      </c>
      <c r="H937">
        <v>819</v>
      </c>
      <c r="I937">
        <v>0</v>
      </c>
      <c r="J937" t="s">
        <v>3778</v>
      </c>
      <c r="K937">
        <v>3970</v>
      </c>
      <c r="L937">
        <v>3390</v>
      </c>
      <c r="M937">
        <v>-14.61</v>
      </c>
      <c r="N937">
        <v>0.44</v>
      </c>
      <c r="O937">
        <v>1.92</v>
      </c>
      <c r="P937">
        <v>-8.1</v>
      </c>
      <c r="Q937">
        <v>-2.41</v>
      </c>
      <c r="R937">
        <v>4.38</v>
      </c>
      <c r="S937">
        <v>-5.01</v>
      </c>
      <c r="T937">
        <v>1.29</v>
      </c>
      <c r="U937">
        <v>2.4900000000000002</v>
      </c>
      <c r="V937">
        <v>1.69</v>
      </c>
      <c r="W937">
        <v>3.79</v>
      </c>
      <c r="X937">
        <v>1.26</v>
      </c>
      <c r="Y937">
        <v>0.91</v>
      </c>
      <c r="Z937">
        <v>0.34</v>
      </c>
      <c r="AA937">
        <v>0.77</v>
      </c>
      <c r="AB937">
        <v>4.79</v>
      </c>
      <c r="AC937">
        <v>0.64</v>
      </c>
      <c r="AD937">
        <v>3.48</v>
      </c>
      <c r="AE937">
        <v>5.51</v>
      </c>
      <c r="AF937">
        <v>2.5883333333333329</v>
      </c>
      <c r="AG937" t="str">
        <f>HYPERLINK("https://finance.naver.com/item/fchart.naver?code=066700", "테라젠이텍스 차트보기")</f>
        <v>테라젠이텍스 차트보기</v>
      </c>
    </row>
    <row r="938" spans="1:33" x14ac:dyDescent="0.3">
      <c r="A938" t="s">
        <v>3779</v>
      </c>
      <c r="B938" t="s">
        <v>55</v>
      </c>
      <c r="C938" t="s">
        <v>3780</v>
      </c>
      <c r="D938">
        <v>193437.1</v>
      </c>
      <c r="E938" t="s">
        <v>3781</v>
      </c>
      <c r="F938">
        <v>0</v>
      </c>
      <c r="G938">
        <v>0.74000000953674316</v>
      </c>
      <c r="H938">
        <v>0</v>
      </c>
      <c r="I938">
        <v>0</v>
      </c>
      <c r="J938" t="s">
        <v>3782</v>
      </c>
      <c r="K938">
        <v>1832</v>
      </c>
      <c r="L938">
        <v>945</v>
      </c>
      <c r="M938">
        <v>-48.42</v>
      </c>
      <c r="N938">
        <v>-2.17</v>
      </c>
      <c r="O938">
        <v>-5.25</v>
      </c>
      <c r="P938">
        <v>-3.22</v>
      </c>
      <c r="Q938">
        <v>-9.32</v>
      </c>
      <c r="R938">
        <v>-36.67</v>
      </c>
      <c r="S938">
        <v>5.14</v>
      </c>
      <c r="T938">
        <v>2.0699999999999998</v>
      </c>
      <c r="U938">
        <v>2</v>
      </c>
      <c r="V938">
        <v>2.0299999999999998</v>
      </c>
      <c r="W938">
        <v>5.19</v>
      </c>
      <c r="X938">
        <v>5.19</v>
      </c>
      <c r="Y938">
        <v>3.67</v>
      </c>
      <c r="Z938">
        <v>1.05</v>
      </c>
      <c r="AA938">
        <v>2.62</v>
      </c>
      <c r="AB938">
        <v>1.59</v>
      </c>
      <c r="AC938">
        <v>1.8</v>
      </c>
      <c r="AD938">
        <v>7.07</v>
      </c>
      <c r="AE938">
        <v>1.4</v>
      </c>
      <c r="AF938">
        <v>2.5883333333333329</v>
      </c>
      <c r="AG938" t="str">
        <f>HYPERLINK("https://finance.naver.com/item/fchart.naver?code=198940", "한주라이트메탈 차트보기")</f>
        <v>한주라이트메탈 차트보기</v>
      </c>
    </row>
    <row r="939" spans="1:33" x14ac:dyDescent="0.3">
      <c r="A939" t="s">
        <v>3783</v>
      </c>
      <c r="B939" t="s">
        <v>34</v>
      </c>
      <c r="C939" t="s">
        <v>3784</v>
      </c>
      <c r="D939">
        <v>11428.52</v>
      </c>
      <c r="E939" t="s">
        <v>3785</v>
      </c>
      <c r="F939">
        <v>0</v>
      </c>
      <c r="G939">
        <v>0</v>
      </c>
      <c r="H939">
        <v>0</v>
      </c>
      <c r="I939">
        <v>4.9899997711181641</v>
      </c>
      <c r="J939" t="s">
        <v>3786</v>
      </c>
      <c r="K939">
        <v>48600</v>
      </c>
      <c r="L939">
        <v>54300</v>
      </c>
      <c r="M939">
        <v>11.73</v>
      </c>
      <c r="N939">
        <v>2.84</v>
      </c>
      <c r="O939">
        <v>5.19</v>
      </c>
      <c r="P939">
        <v>-2.34</v>
      </c>
      <c r="Q939">
        <v>0.2</v>
      </c>
      <c r="R939">
        <v>7.35</v>
      </c>
      <c r="S939">
        <v>0.96</v>
      </c>
      <c r="T939">
        <v>0.93</v>
      </c>
      <c r="U939">
        <v>1.0900000000000001</v>
      </c>
      <c r="V939">
        <v>1.51</v>
      </c>
      <c r="W939">
        <v>2.34</v>
      </c>
      <c r="X939">
        <v>1.38</v>
      </c>
      <c r="Y939">
        <v>1.27</v>
      </c>
      <c r="Z939">
        <v>3.05</v>
      </c>
      <c r="AA939">
        <v>4.76</v>
      </c>
      <c r="AB939">
        <v>1.55</v>
      </c>
      <c r="AC939">
        <v>0.09</v>
      </c>
      <c r="AD939">
        <v>5.33</v>
      </c>
      <c r="AE939">
        <v>0.76</v>
      </c>
      <c r="AF939">
        <v>2.59</v>
      </c>
      <c r="AG939" t="str">
        <f>HYPERLINK("https://finance.naver.com/item/fchart.naver?code=071055", "한국금융지주우 차트보기")</f>
        <v>한국금융지주우 차트보기</v>
      </c>
    </row>
    <row r="940" spans="1:33" x14ac:dyDescent="0.3">
      <c r="A940" t="s">
        <v>3787</v>
      </c>
      <c r="B940" t="s">
        <v>34</v>
      </c>
      <c r="C940" t="s">
        <v>3788</v>
      </c>
      <c r="D940">
        <v>79841.240000000005</v>
      </c>
      <c r="E940" t="s">
        <v>3789</v>
      </c>
      <c r="F940">
        <v>5.44</v>
      </c>
      <c r="G940">
        <v>0.34999999403953552</v>
      </c>
      <c r="H940">
        <v>498</v>
      </c>
      <c r="I940">
        <v>2.9500000476837158</v>
      </c>
      <c r="J940" t="s">
        <v>3790</v>
      </c>
      <c r="K940">
        <v>2695</v>
      </c>
      <c r="L940">
        <v>2710</v>
      </c>
      <c r="M940">
        <v>0.56000000000000005</v>
      </c>
      <c r="N940">
        <v>2.85</v>
      </c>
      <c r="O940">
        <v>1.54</v>
      </c>
      <c r="P940">
        <v>2.83</v>
      </c>
      <c r="Q940">
        <v>0.8</v>
      </c>
      <c r="R940">
        <v>-5.25</v>
      </c>
      <c r="S940">
        <v>-1.74</v>
      </c>
      <c r="T940">
        <v>0.86</v>
      </c>
      <c r="U940">
        <v>0.71</v>
      </c>
      <c r="V940">
        <v>1.21</v>
      </c>
      <c r="W940">
        <v>4.53</v>
      </c>
      <c r="X940">
        <v>0.94</v>
      </c>
      <c r="Y940">
        <v>0.89</v>
      </c>
      <c r="Z940">
        <v>3.31</v>
      </c>
      <c r="AA940">
        <v>2.17</v>
      </c>
      <c r="AB940">
        <v>2.34</v>
      </c>
      <c r="AC940">
        <v>0.18</v>
      </c>
      <c r="AD940">
        <v>5.59</v>
      </c>
      <c r="AE940">
        <v>1.96</v>
      </c>
      <c r="AF940">
        <v>2.5916666666666668</v>
      </c>
      <c r="AG940" t="str">
        <f>HYPERLINK("https://finance.naver.com/item/fchart.naver?code=002200", "한국수출포장 차트보기")</f>
        <v>한국수출포장 차트보기</v>
      </c>
    </row>
    <row r="941" spans="1:33" x14ac:dyDescent="0.3">
      <c r="A941" t="s">
        <v>3791</v>
      </c>
      <c r="B941" t="s">
        <v>34</v>
      </c>
      <c r="C941" t="s">
        <v>3792</v>
      </c>
      <c r="D941">
        <v>394770.76</v>
      </c>
      <c r="E941" t="s">
        <v>3793</v>
      </c>
      <c r="F941">
        <v>11.41</v>
      </c>
      <c r="G941">
        <v>0.5</v>
      </c>
      <c r="H941">
        <v>689</v>
      </c>
      <c r="I941">
        <v>1.9099999666213989</v>
      </c>
      <c r="J941" t="s">
        <v>3794</v>
      </c>
      <c r="K941">
        <v>7910</v>
      </c>
      <c r="L941">
        <v>7860</v>
      </c>
      <c r="M941">
        <v>-0.63</v>
      </c>
      <c r="N941">
        <v>4.1100000000000003</v>
      </c>
      <c r="O941">
        <v>5</v>
      </c>
      <c r="P941">
        <v>-1.04</v>
      </c>
      <c r="Q941">
        <v>-14.46</v>
      </c>
      <c r="R941">
        <v>15.04</v>
      </c>
      <c r="S941">
        <v>-6.1</v>
      </c>
      <c r="T941">
        <v>4.0999999999999996</v>
      </c>
      <c r="U941">
        <v>1.89</v>
      </c>
      <c r="V941">
        <v>1.82</v>
      </c>
      <c r="W941">
        <v>4.93</v>
      </c>
      <c r="X941">
        <v>5.01</v>
      </c>
      <c r="Y941">
        <v>1.1299999999999999</v>
      </c>
      <c r="Z941">
        <v>1</v>
      </c>
      <c r="AA941">
        <v>2.65</v>
      </c>
      <c r="AB941">
        <v>0.56999999999999995</v>
      </c>
      <c r="AC941">
        <v>2.93</v>
      </c>
      <c r="AD941">
        <v>3</v>
      </c>
      <c r="AE941">
        <v>5.4</v>
      </c>
      <c r="AF941">
        <v>2.5916666666666668</v>
      </c>
      <c r="AG941" t="str">
        <f>HYPERLINK("https://finance.naver.com/item/fchart.naver?code=163560", "동일고무벨트 차트보기")</f>
        <v>동일고무벨트 차트보기</v>
      </c>
    </row>
    <row r="942" spans="1:33" x14ac:dyDescent="0.3">
      <c r="A942" t="s">
        <v>3795</v>
      </c>
      <c r="B942" t="s">
        <v>34</v>
      </c>
      <c r="C942" t="s">
        <v>3796</v>
      </c>
      <c r="D942">
        <v>94370.14</v>
      </c>
      <c r="E942" t="s">
        <v>3797</v>
      </c>
      <c r="F942">
        <v>0</v>
      </c>
      <c r="G942">
        <v>0.27000001072883612</v>
      </c>
      <c r="H942">
        <v>0</v>
      </c>
      <c r="I942">
        <v>3.7699999809265141</v>
      </c>
      <c r="J942" t="s">
        <v>3798</v>
      </c>
      <c r="K942">
        <v>3120</v>
      </c>
      <c r="L942">
        <v>2650</v>
      </c>
      <c r="M942">
        <v>-15.06</v>
      </c>
      <c r="N942">
        <v>-2.21</v>
      </c>
      <c r="O942">
        <v>-4.84</v>
      </c>
      <c r="P942">
        <v>-3.32</v>
      </c>
      <c r="Q942">
        <v>-4.25</v>
      </c>
      <c r="R942">
        <v>-0.47</v>
      </c>
      <c r="S942">
        <v>2.2400000000000002</v>
      </c>
      <c r="T942">
        <v>1.05</v>
      </c>
      <c r="U942">
        <v>1.1200000000000001</v>
      </c>
      <c r="V942">
        <v>0.88</v>
      </c>
      <c r="W942">
        <v>1.85</v>
      </c>
      <c r="X942">
        <v>1.0900000000000001</v>
      </c>
      <c r="Y942">
        <v>0.85</v>
      </c>
      <c r="Z942">
        <v>2.1</v>
      </c>
      <c r="AA942">
        <v>4.32</v>
      </c>
      <c r="AB942">
        <v>3.77</v>
      </c>
      <c r="AC942">
        <v>2.2999999999999998</v>
      </c>
      <c r="AD942">
        <v>0.43</v>
      </c>
      <c r="AE942">
        <v>2.64</v>
      </c>
      <c r="AF942">
        <v>2.5933333333333328</v>
      </c>
      <c r="AG942" t="str">
        <f>HYPERLINK("https://finance.naver.com/item/fchart.naver?code=009580", "무림P&amp;P 차트보기")</f>
        <v>무림P&amp;P 차트보기</v>
      </c>
    </row>
    <row r="943" spans="1:33" x14ac:dyDescent="0.3">
      <c r="A943" t="s">
        <v>3799</v>
      </c>
      <c r="B943" t="s">
        <v>34</v>
      </c>
      <c r="C943" t="s">
        <v>3800</v>
      </c>
      <c r="D943">
        <v>188</v>
      </c>
      <c r="E943" t="s">
        <v>3801</v>
      </c>
      <c r="F943">
        <v>0</v>
      </c>
      <c r="G943">
        <v>0</v>
      </c>
      <c r="H943">
        <v>0</v>
      </c>
      <c r="I943">
        <v>0</v>
      </c>
      <c r="J943" t="s">
        <v>3802</v>
      </c>
      <c r="K943">
        <v>12400</v>
      </c>
      <c r="L943">
        <v>11500</v>
      </c>
      <c r="M943">
        <v>-7.26</v>
      </c>
      <c r="N943">
        <v>-0.09</v>
      </c>
      <c r="O943">
        <v>8.41</v>
      </c>
      <c r="P943">
        <v>-10.92</v>
      </c>
      <c r="Q943">
        <v>-2.97</v>
      </c>
      <c r="R943">
        <v>0.65</v>
      </c>
      <c r="S943">
        <v>-0.08</v>
      </c>
      <c r="T943">
        <v>2.57</v>
      </c>
      <c r="U943">
        <v>1.29</v>
      </c>
      <c r="V943">
        <v>2.87</v>
      </c>
      <c r="W943">
        <v>0.71</v>
      </c>
      <c r="X943">
        <v>0.77</v>
      </c>
      <c r="Y943">
        <v>0.43</v>
      </c>
      <c r="Z943">
        <v>0.04</v>
      </c>
      <c r="AA943">
        <v>6.52</v>
      </c>
      <c r="AB943">
        <v>3.8</v>
      </c>
      <c r="AC943">
        <v>4.18</v>
      </c>
      <c r="AD943">
        <v>0.84</v>
      </c>
      <c r="AE943">
        <v>0.19</v>
      </c>
      <c r="AF943">
        <v>2.5950000000000002</v>
      </c>
      <c r="AG943" t="str">
        <f>HYPERLINK("https://finance.naver.com/item/fchart.naver?code=002787", "진흥기업2우B 차트보기")</f>
        <v>진흥기업2우B 차트보기</v>
      </c>
    </row>
    <row r="944" spans="1:33" x14ac:dyDescent="0.3">
      <c r="A944" t="s">
        <v>3803</v>
      </c>
      <c r="B944" t="s">
        <v>34</v>
      </c>
      <c r="C944" t="s">
        <v>3804</v>
      </c>
      <c r="D944">
        <v>156072.62</v>
      </c>
      <c r="E944" t="s">
        <v>3805</v>
      </c>
      <c r="F944">
        <v>6.47</v>
      </c>
      <c r="G944">
        <v>0.25</v>
      </c>
      <c r="H944">
        <v>4679</v>
      </c>
      <c r="I944">
        <v>1.6499999761581421</v>
      </c>
      <c r="J944" t="s">
        <v>3806</v>
      </c>
      <c r="K944">
        <v>34250</v>
      </c>
      <c r="L944">
        <v>30250</v>
      </c>
      <c r="M944">
        <v>-11.68</v>
      </c>
      <c r="N944">
        <v>-3.04</v>
      </c>
      <c r="O944">
        <v>4.92</v>
      </c>
      <c r="P944">
        <v>-7.89</v>
      </c>
      <c r="Q944">
        <v>-4.76</v>
      </c>
      <c r="R944">
        <v>7.81</v>
      </c>
      <c r="S944">
        <v>-4.99</v>
      </c>
      <c r="T944">
        <v>1.75</v>
      </c>
      <c r="U944">
        <v>2.17</v>
      </c>
      <c r="V944">
        <v>2.0299999999999998</v>
      </c>
      <c r="W944">
        <v>3.46</v>
      </c>
      <c r="X944">
        <v>2.21</v>
      </c>
      <c r="Y944">
        <v>1.81</v>
      </c>
      <c r="Z944">
        <v>1.74</v>
      </c>
      <c r="AA944">
        <v>2.27</v>
      </c>
      <c r="AB944">
        <v>3.89</v>
      </c>
      <c r="AC944">
        <v>1.38</v>
      </c>
      <c r="AD944">
        <v>3.53</v>
      </c>
      <c r="AE944">
        <v>2.76</v>
      </c>
      <c r="AF944">
        <v>2.5950000000000002</v>
      </c>
      <c r="AG944" t="str">
        <f>HYPERLINK("https://finance.naver.com/item/fchart.naver?code=375500", "DL이앤씨 차트보기")</f>
        <v>DL이앤씨 차트보기</v>
      </c>
    </row>
    <row r="945" spans="1:33" x14ac:dyDescent="0.3">
      <c r="A945" t="s">
        <v>3807</v>
      </c>
      <c r="B945" t="s">
        <v>55</v>
      </c>
      <c r="C945" t="s">
        <v>3808</v>
      </c>
      <c r="D945">
        <v>85230.95</v>
      </c>
      <c r="E945" t="s">
        <v>3809</v>
      </c>
      <c r="F945">
        <v>0</v>
      </c>
      <c r="G945">
        <v>2.3499999046325679</v>
      </c>
      <c r="H945">
        <v>0</v>
      </c>
      <c r="I945">
        <v>0</v>
      </c>
      <c r="J945" t="s">
        <v>3810</v>
      </c>
      <c r="K945">
        <v>1800</v>
      </c>
      <c r="L945">
        <v>1064</v>
      </c>
      <c r="M945">
        <v>-40.89</v>
      </c>
      <c r="N945">
        <v>-9.83</v>
      </c>
      <c r="O945">
        <v>-11.01</v>
      </c>
      <c r="P945">
        <v>-11.29</v>
      </c>
      <c r="Q945">
        <v>-0.12</v>
      </c>
      <c r="R945">
        <v>-2.17</v>
      </c>
      <c r="S945">
        <v>0.3</v>
      </c>
      <c r="T945">
        <v>2.4300000000000002</v>
      </c>
      <c r="U945">
        <v>1.82</v>
      </c>
      <c r="V945">
        <v>2.4700000000000002</v>
      </c>
      <c r="W945">
        <v>5.21</v>
      </c>
      <c r="X945">
        <v>2.78</v>
      </c>
      <c r="Y945">
        <v>2.65</v>
      </c>
      <c r="Z945">
        <v>4.05</v>
      </c>
      <c r="AA945">
        <v>6.05</v>
      </c>
      <c r="AB945">
        <v>4.57</v>
      </c>
      <c r="AC945">
        <v>0.02</v>
      </c>
      <c r="AD945">
        <v>0.78</v>
      </c>
      <c r="AE945">
        <v>0.11</v>
      </c>
      <c r="AF945">
        <v>2.5966666666666658</v>
      </c>
      <c r="AG945" t="str">
        <f>HYPERLINK("https://finance.naver.com/item/fchart.naver?code=303030", "지니틱스 차트보기")</f>
        <v>지니틱스 차트보기</v>
      </c>
    </row>
    <row r="946" spans="1:33" x14ac:dyDescent="0.3">
      <c r="A946" t="s">
        <v>3811</v>
      </c>
      <c r="B946" t="s">
        <v>34</v>
      </c>
      <c r="C946" t="s">
        <v>3812</v>
      </c>
      <c r="D946">
        <v>42107.86</v>
      </c>
      <c r="E946" t="s">
        <v>3813</v>
      </c>
      <c r="F946">
        <v>23.59</v>
      </c>
      <c r="G946">
        <v>0.50999999046325684</v>
      </c>
      <c r="H946">
        <v>78</v>
      </c>
      <c r="I946">
        <v>2.720000028610229</v>
      </c>
      <c r="J946" t="s">
        <v>3814</v>
      </c>
      <c r="K946">
        <v>1900</v>
      </c>
      <c r="L946">
        <v>1840</v>
      </c>
      <c r="M946">
        <v>-3.16</v>
      </c>
      <c r="N946">
        <v>-1.81</v>
      </c>
      <c r="O946">
        <v>-1.1000000000000001</v>
      </c>
      <c r="P946">
        <v>2.96</v>
      </c>
      <c r="Q946">
        <v>-12.69</v>
      </c>
      <c r="R946">
        <v>4.41</v>
      </c>
      <c r="S946">
        <v>6.21</v>
      </c>
      <c r="T946">
        <v>0.81</v>
      </c>
      <c r="U946">
        <v>1.1000000000000001</v>
      </c>
      <c r="V946">
        <v>1.39</v>
      </c>
      <c r="W946">
        <v>2.6</v>
      </c>
      <c r="X946">
        <v>1.8</v>
      </c>
      <c r="Y946">
        <v>2.15</v>
      </c>
      <c r="Z946">
        <v>2.23</v>
      </c>
      <c r="AA946">
        <v>1</v>
      </c>
      <c r="AB946">
        <v>2.13</v>
      </c>
      <c r="AC946">
        <v>4.88</v>
      </c>
      <c r="AD946">
        <v>2.4500000000000002</v>
      </c>
      <c r="AE946">
        <v>2.89</v>
      </c>
      <c r="AF946">
        <v>2.5966666666666658</v>
      </c>
      <c r="AG946" t="str">
        <f>HYPERLINK("https://finance.naver.com/item/fchart.naver?code=013520", "화승코퍼레이션 차트보기")</f>
        <v>화승코퍼레이션 차트보기</v>
      </c>
    </row>
    <row r="947" spans="1:33" x14ac:dyDescent="0.3">
      <c r="A947" t="s">
        <v>3815</v>
      </c>
      <c r="B947" t="s">
        <v>55</v>
      </c>
      <c r="C947" t="s">
        <v>3816</v>
      </c>
      <c r="D947">
        <v>727541.1</v>
      </c>
      <c r="E947" t="s">
        <v>3817</v>
      </c>
      <c r="F947">
        <v>6.99</v>
      </c>
      <c r="G947">
        <v>1.2300000190734861</v>
      </c>
      <c r="H947">
        <v>277</v>
      </c>
      <c r="I947">
        <v>0</v>
      </c>
      <c r="J947" t="s">
        <v>3818</v>
      </c>
      <c r="K947">
        <v>2705</v>
      </c>
      <c r="L947">
        <v>1935</v>
      </c>
      <c r="M947">
        <v>-28.47</v>
      </c>
      <c r="N947">
        <v>-0.05</v>
      </c>
      <c r="O947">
        <v>10.37</v>
      </c>
      <c r="P947">
        <v>-0.31</v>
      </c>
      <c r="Q947">
        <v>-17.059999999999999</v>
      </c>
      <c r="R947">
        <v>-11.61</v>
      </c>
      <c r="S947">
        <v>-6.28</v>
      </c>
      <c r="T947">
        <v>4.49</v>
      </c>
      <c r="U947">
        <v>4.09</v>
      </c>
      <c r="V947">
        <v>2.94</v>
      </c>
      <c r="W947">
        <v>4.01</v>
      </c>
      <c r="X947">
        <v>1.89</v>
      </c>
      <c r="Y947">
        <v>2.48</v>
      </c>
      <c r="Z947">
        <v>0.01</v>
      </c>
      <c r="AA947">
        <v>2.54</v>
      </c>
      <c r="AB947">
        <v>0.11</v>
      </c>
      <c r="AC947">
        <v>4.25</v>
      </c>
      <c r="AD947">
        <v>6.14</v>
      </c>
      <c r="AE947">
        <v>2.5299999999999998</v>
      </c>
      <c r="AF947">
        <v>2.5966666666666671</v>
      </c>
      <c r="AG947" t="str">
        <f>HYPERLINK("https://finance.naver.com/item/fchart.naver?code=362990", "드림인사이트 차트보기")</f>
        <v>드림인사이트 차트보기</v>
      </c>
    </row>
    <row r="948" spans="1:33" x14ac:dyDescent="0.3">
      <c r="A948" t="s">
        <v>3819</v>
      </c>
      <c r="B948" t="s">
        <v>55</v>
      </c>
      <c r="C948" t="s">
        <v>3820</v>
      </c>
      <c r="D948">
        <v>15608.67</v>
      </c>
      <c r="E948" t="s">
        <v>3821</v>
      </c>
      <c r="F948">
        <v>0</v>
      </c>
      <c r="G948">
        <v>1.0199999809265139</v>
      </c>
      <c r="H948">
        <v>0</v>
      </c>
      <c r="I948">
        <v>0.93000000715255737</v>
      </c>
      <c r="J948" t="s">
        <v>3822</v>
      </c>
      <c r="K948">
        <v>12420</v>
      </c>
      <c r="L948">
        <v>10810</v>
      </c>
      <c r="M948">
        <v>-12.96</v>
      </c>
      <c r="N948">
        <v>7.88</v>
      </c>
      <c r="O948">
        <v>-3.21</v>
      </c>
      <c r="P948">
        <v>-3.58</v>
      </c>
      <c r="Q948">
        <v>-0.71</v>
      </c>
      <c r="R948">
        <v>9.34</v>
      </c>
      <c r="S948">
        <v>-9.0500000000000007</v>
      </c>
      <c r="T948">
        <v>2.2799999999999998</v>
      </c>
      <c r="U948">
        <v>1.56</v>
      </c>
      <c r="V948">
        <v>1.47</v>
      </c>
      <c r="W948">
        <v>3.41</v>
      </c>
      <c r="X948">
        <v>3.75</v>
      </c>
      <c r="Y948">
        <v>1.84</v>
      </c>
      <c r="Z948">
        <v>3.46</v>
      </c>
      <c r="AA948">
        <v>2.06</v>
      </c>
      <c r="AB948">
        <v>2.44</v>
      </c>
      <c r="AC948">
        <v>0.21</v>
      </c>
      <c r="AD948">
        <v>2.4900000000000002</v>
      </c>
      <c r="AE948">
        <v>4.92</v>
      </c>
      <c r="AF948">
        <v>2.5966666666666671</v>
      </c>
      <c r="AG948" t="str">
        <f>HYPERLINK("https://finance.naver.com/item/fchart.naver?code=138080", "오이솔루션 차트보기")</f>
        <v>오이솔루션 차트보기</v>
      </c>
    </row>
    <row r="949" spans="1:33" x14ac:dyDescent="0.3">
      <c r="A949" t="s">
        <v>3823</v>
      </c>
      <c r="B949" t="s">
        <v>34</v>
      </c>
      <c r="C949" t="s">
        <v>3824</v>
      </c>
      <c r="D949">
        <v>113360.81</v>
      </c>
      <c r="E949" t="s">
        <v>3825</v>
      </c>
      <c r="F949">
        <v>9.33</v>
      </c>
      <c r="G949">
        <v>0.44999998807907099</v>
      </c>
      <c r="H949">
        <v>8032</v>
      </c>
      <c r="I949">
        <v>4.1399998664855957</v>
      </c>
      <c r="J949" t="s">
        <v>3826</v>
      </c>
      <c r="K949">
        <v>81000</v>
      </c>
      <c r="L949">
        <v>74900</v>
      </c>
      <c r="M949">
        <v>-7.53</v>
      </c>
      <c r="N949">
        <v>-2.35</v>
      </c>
      <c r="O949">
        <v>-3.81</v>
      </c>
      <c r="P949">
        <v>0</v>
      </c>
      <c r="Q949">
        <v>-8.01</v>
      </c>
      <c r="R949">
        <v>7.7</v>
      </c>
      <c r="S949">
        <v>-1.35</v>
      </c>
      <c r="T949">
        <v>0.82</v>
      </c>
      <c r="U949">
        <v>1.28</v>
      </c>
      <c r="V949">
        <v>2.88</v>
      </c>
      <c r="W949">
        <v>2.14</v>
      </c>
      <c r="X949">
        <v>1.45</v>
      </c>
      <c r="Y949">
        <v>1.94</v>
      </c>
      <c r="Z949">
        <v>2.87</v>
      </c>
      <c r="AA949">
        <v>2.98</v>
      </c>
      <c r="AB949">
        <v>0</v>
      </c>
      <c r="AC949">
        <v>3.74</v>
      </c>
      <c r="AD949">
        <v>5.31</v>
      </c>
      <c r="AE949">
        <v>0.7</v>
      </c>
      <c r="AF949">
        <v>2.6</v>
      </c>
      <c r="AG949" t="str">
        <f>HYPERLINK("https://finance.naver.com/item/fchart.naver?code=003550", "LG 차트보기")</f>
        <v>LG 차트보기</v>
      </c>
    </row>
    <row r="950" spans="1:33" x14ac:dyDescent="0.3">
      <c r="A950" t="s">
        <v>3827</v>
      </c>
      <c r="B950" t="s">
        <v>55</v>
      </c>
      <c r="C950" t="s">
        <v>3828</v>
      </c>
      <c r="D950">
        <v>72355.62</v>
      </c>
      <c r="E950" t="s">
        <v>3829</v>
      </c>
      <c r="F950">
        <v>7.97</v>
      </c>
      <c r="G950">
        <v>0.72000002861022949</v>
      </c>
      <c r="H950">
        <v>221</v>
      </c>
      <c r="I950">
        <v>2.2699999809265141</v>
      </c>
      <c r="J950" t="s">
        <v>3830</v>
      </c>
      <c r="K950">
        <v>2325</v>
      </c>
      <c r="L950">
        <v>1762</v>
      </c>
      <c r="M950">
        <v>-24.22</v>
      </c>
      <c r="N950">
        <v>-3.13</v>
      </c>
      <c r="O950">
        <v>2.92</v>
      </c>
      <c r="P950">
        <v>-1.35</v>
      </c>
      <c r="Q950">
        <v>-15.84</v>
      </c>
      <c r="R950">
        <v>-6.9</v>
      </c>
      <c r="S950">
        <v>16.59</v>
      </c>
      <c r="T950">
        <v>1.1399999999999999</v>
      </c>
      <c r="U950">
        <v>1.83</v>
      </c>
      <c r="V950">
        <v>2.4</v>
      </c>
      <c r="W950">
        <v>3.49</v>
      </c>
      <c r="X950">
        <v>2.59</v>
      </c>
      <c r="Y950">
        <v>4.74</v>
      </c>
      <c r="Z950">
        <v>2.75</v>
      </c>
      <c r="AA950">
        <v>1.6</v>
      </c>
      <c r="AB950">
        <v>0.56000000000000005</v>
      </c>
      <c r="AC950">
        <v>4.54</v>
      </c>
      <c r="AD950">
        <v>2.66</v>
      </c>
      <c r="AE950">
        <v>3.5</v>
      </c>
      <c r="AF950">
        <v>2.601666666666667</v>
      </c>
      <c r="AG950" t="str">
        <f>HYPERLINK("https://finance.naver.com/item/fchart.naver?code=189980", "흥국에프엔비 차트보기")</f>
        <v>흥국에프엔비 차트보기</v>
      </c>
    </row>
    <row r="951" spans="1:33" x14ac:dyDescent="0.3">
      <c r="A951" t="s">
        <v>3831</v>
      </c>
      <c r="B951" t="s">
        <v>55</v>
      </c>
      <c r="C951" t="s">
        <v>3832</v>
      </c>
      <c r="D951">
        <v>661650.14</v>
      </c>
      <c r="E951" t="s">
        <v>3833</v>
      </c>
      <c r="F951">
        <v>0</v>
      </c>
      <c r="G951">
        <v>2.0999999046325679</v>
      </c>
      <c r="H951">
        <v>0</v>
      </c>
      <c r="I951">
        <v>0</v>
      </c>
      <c r="J951" t="s">
        <v>3834</v>
      </c>
      <c r="K951">
        <v>3661</v>
      </c>
      <c r="L951">
        <v>2510</v>
      </c>
      <c r="M951">
        <v>-31.44</v>
      </c>
      <c r="N951">
        <v>-6.86</v>
      </c>
      <c r="O951">
        <v>-16.79</v>
      </c>
      <c r="P951">
        <v>41.1</v>
      </c>
      <c r="Q951">
        <v>-12.57</v>
      </c>
      <c r="R951">
        <v>0.31</v>
      </c>
      <c r="S951">
        <v>-7.37</v>
      </c>
      <c r="T951">
        <v>2.08</v>
      </c>
      <c r="U951">
        <v>4.7</v>
      </c>
      <c r="V951">
        <v>11.62</v>
      </c>
      <c r="W951">
        <v>7.65</v>
      </c>
      <c r="X951">
        <v>6.82</v>
      </c>
      <c r="Y951">
        <v>2.1</v>
      </c>
      <c r="Z951">
        <v>3.3</v>
      </c>
      <c r="AA951">
        <v>3.57</v>
      </c>
      <c r="AB951">
        <v>3.54</v>
      </c>
      <c r="AC951">
        <v>1.64</v>
      </c>
      <c r="AD951">
        <v>0.05</v>
      </c>
      <c r="AE951">
        <v>3.51</v>
      </c>
      <c r="AF951">
        <v>2.601666666666667</v>
      </c>
      <c r="AG951" t="str">
        <f>HYPERLINK("https://finance.naver.com/item/fchart.naver?code=354200", "엔젠바이오 차트보기")</f>
        <v>엔젠바이오 차트보기</v>
      </c>
    </row>
    <row r="952" spans="1:33" x14ac:dyDescent="0.3">
      <c r="A952" t="s">
        <v>3835</v>
      </c>
      <c r="B952" t="s">
        <v>34</v>
      </c>
      <c r="C952" t="s">
        <v>3836</v>
      </c>
      <c r="D952">
        <v>125898.67</v>
      </c>
      <c r="E952" t="s">
        <v>3837</v>
      </c>
      <c r="F952">
        <v>34.24</v>
      </c>
      <c r="G952">
        <v>0.2099999934434891</v>
      </c>
      <c r="H952">
        <v>151</v>
      </c>
      <c r="I952">
        <v>3.869999885559082</v>
      </c>
      <c r="J952" t="s">
        <v>3838</v>
      </c>
      <c r="K952">
        <v>4335</v>
      </c>
      <c r="L952">
        <v>5170</v>
      </c>
      <c r="M952">
        <v>19.260000000000002</v>
      </c>
      <c r="N952">
        <v>-4.6100000000000003</v>
      </c>
      <c r="O952">
        <v>-3.05</v>
      </c>
      <c r="P952">
        <v>12.87</v>
      </c>
      <c r="Q952">
        <v>6.06</v>
      </c>
      <c r="R952">
        <v>2.42</v>
      </c>
      <c r="S952">
        <v>4.7</v>
      </c>
      <c r="T952">
        <v>1.66</v>
      </c>
      <c r="U952">
        <v>1.98</v>
      </c>
      <c r="V952">
        <v>5.98</v>
      </c>
      <c r="W952">
        <v>2.4300000000000002</v>
      </c>
      <c r="X952">
        <v>1.27</v>
      </c>
      <c r="Y952">
        <v>0.99</v>
      </c>
      <c r="Z952">
        <v>2.78</v>
      </c>
      <c r="AA952">
        <v>1.54</v>
      </c>
      <c r="AB952">
        <v>2.15</v>
      </c>
      <c r="AC952">
        <v>2.4900000000000002</v>
      </c>
      <c r="AD952">
        <v>1.91</v>
      </c>
      <c r="AE952">
        <v>4.75</v>
      </c>
      <c r="AF952">
        <v>2.6033333333333331</v>
      </c>
      <c r="AG952" t="str">
        <f>HYPERLINK("https://finance.naver.com/item/fchart.naver?code=016610", "DB금융투자 차트보기")</f>
        <v>DB금융투자 차트보기</v>
      </c>
    </row>
    <row r="953" spans="1:33" x14ac:dyDescent="0.3">
      <c r="A953" t="s">
        <v>3839</v>
      </c>
      <c r="B953" t="s">
        <v>55</v>
      </c>
      <c r="C953" t="s">
        <v>3840</v>
      </c>
      <c r="D953">
        <v>61893.86</v>
      </c>
      <c r="E953" t="s">
        <v>3841</v>
      </c>
      <c r="F953">
        <v>11.46</v>
      </c>
      <c r="G953">
        <v>1.0099999904632571</v>
      </c>
      <c r="H953">
        <v>603</v>
      </c>
      <c r="I953">
        <v>1.450000047683716</v>
      </c>
      <c r="J953" t="s">
        <v>3842</v>
      </c>
      <c r="K953">
        <v>8190</v>
      </c>
      <c r="L953">
        <v>6910</v>
      </c>
      <c r="M953">
        <v>-15.63</v>
      </c>
      <c r="N953">
        <v>-1.71</v>
      </c>
      <c r="O953">
        <v>1.73</v>
      </c>
      <c r="P953">
        <v>-8.2200000000000006</v>
      </c>
      <c r="Q953">
        <v>-7.58</v>
      </c>
      <c r="R953">
        <v>3.44</v>
      </c>
      <c r="S953">
        <v>-4.7300000000000004</v>
      </c>
      <c r="T953">
        <v>0.46</v>
      </c>
      <c r="U953">
        <v>1.63</v>
      </c>
      <c r="V953">
        <v>2.2200000000000002</v>
      </c>
      <c r="W953">
        <v>4.1399999999999997</v>
      </c>
      <c r="X953">
        <v>1.66</v>
      </c>
      <c r="Y953">
        <v>1.46</v>
      </c>
      <c r="Z953">
        <v>3.72</v>
      </c>
      <c r="AA953">
        <v>1.06</v>
      </c>
      <c r="AB953">
        <v>3.7</v>
      </c>
      <c r="AC953">
        <v>1.83</v>
      </c>
      <c r="AD953">
        <v>2.0699999999999998</v>
      </c>
      <c r="AE953">
        <v>3.24</v>
      </c>
      <c r="AF953">
        <v>2.6033333333333331</v>
      </c>
      <c r="AG953" t="str">
        <f>HYPERLINK("https://finance.naver.com/item/fchart.naver?code=330350", "위더스제약 차트보기")</f>
        <v>위더스제약 차트보기</v>
      </c>
    </row>
    <row r="954" spans="1:33" x14ac:dyDescent="0.3">
      <c r="A954" t="s">
        <v>3843</v>
      </c>
      <c r="B954" t="s">
        <v>34</v>
      </c>
      <c r="C954" t="s">
        <v>3844</v>
      </c>
      <c r="D954">
        <v>280960.48</v>
      </c>
      <c r="E954" t="s">
        <v>3845</v>
      </c>
      <c r="F954">
        <v>8.9499999999999993</v>
      </c>
      <c r="G954">
        <v>0.57999998331069946</v>
      </c>
      <c r="H954">
        <v>13556</v>
      </c>
      <c r="I954">
        <v>2.0999999046325679</v>
      </c>
      <c r="J954" t="s">
        <v>3846</v>
      </c>
      <c r="K954">
        <v>153100</v>
      </c>
      <c r="L954">
        <v>121300</v>
      </c>
      <c r="M954">
        <v>-20.77</v>
      </c>
      <c r="N954">
        <v>1.59</v>
      </c>
      <c r="O954">
        <v>-13.33</v>
      </c>
      <c r="P954">
        <v>-5.62</v>
      </c>
      <c r="Q954">
        <v>-2.38</v>
      </c>
      <c r="R954">
        <v>10.3</v>
      </c>
      <c r="S954">
        <v>2.38</v>
      </c>
      <c r="T954">
        <v>1.26</v>
      </c>
      <c r="U954">
        <v>2.68</v>
      </c>
      <c r="V954">
        <v>2.54</v>
      </c>
      <c r="W954">
        <v>2.34</v>
      </c>
      <c r="X954">
        <v>2.1800000000000002</v>
      </c>
      <c r="Y954">
        <v>1.64</v>
      </c>
      <c r="Z954">
        <v>1.26</v>
      </c>
      <c r="AA954">
        <v>4.97</v>
      </c>
      <c r="AB954">
        <v>2.21</v>
      </c>
      <c r="AC954">
        <v>1.02</v>
      </c>
      <c r="AD954">
        <v>4.72</v>
      </c>
      <c r="AE954">
        <v>1.45</v>
      </c>
      <c r="AF954">
        <v>2.605</v>
      </c>
      <c r="AG954" t="str">
        <f>HYPERLINK("https://finance.naver.com/item/fchart.naver?code=028260", "삼성물산 차트보기")</f>
        <v>삼성물산 차트보기</v>
      </c>
    </row>
    <row r="955" spans="1:33" x14ac:dyDescent="0.3">
      <c r="A955" t="s">
        <v>3847</v>
      </c>
      <c r="B955" t="s">
        <v>55</v>
      </c>
      <c r="C955" t="s">
        <v>3848</v>
      </c>
      <c r="D955">
        <v>31830.48</v>
      </c>
      <c r="E955" t="s">
        <v>3849</v>
      </c>
      <c r="F955">
        <v>5.47</v>
      </c>
      <c r="G955">
        <v>0.44999998807907099</v>
      </c>
      <c r="H955">
        <v>1246</v>
      </c>
      <c r="I955">
        <v>1.470000028610229</v>
      </c>
      <c r="J955" t="s">
        <v>3850</v>
      </c>
      <c r="K955">
        <v>8510</v>
      </c>
      <c r="L955">
        <v>6820</v>
      </c>
      <c r="M955">
        <v>-19.86</v>
      </c>
      <c r="N955">
        <v>0.15</v>
      </c>
      <c r="O955">
        <v>-0.56999999999999995</v>
      </c>
      <c r="P955">
        <v>-3.02</v>
      </c>
      <c r="Q955">
        <v>-8.19</v>
      </c>
      <c r="R955">
        <v>-2.2200000000000002</v>
      </c>
      <c r="S955">
        <v>-1.46</v>
      </c>
      <c r="T955">
        <v>1.22</v>
      </c>
      <c r="U955">
        <v>0.64</v>
      </c>
      <c r="V955">
        <v>0.86</v>
      </c>
      <c r="W955">
        <v>2.71</v>
      </c>
      <c r="X955">
        <v>0.44</v>
      </c>
      <c r="Y955">
        <v>0.48</v>
      </c>
      <c r="Z955">
        <v>0.12</v>
      </c>
      <c r="AA955">
        <v>0.89</v>
      </c>
      <c r="AB955">
        <v>3.51</v>
      </c>
      <c r="AC955">
        <v>3.02</v>
      </c>
      <c r="AD955">
        <v>5.05</v>
      </c>
      <c r="AE955">
        <v>3.04</v>
      </c>
      <c r="AF955">
        <v>2.605</v>
      </c>
      <c r="AG955" t="str">
        <f>HYPERLINK("https://finance.naver.com/item/fchart.naver?code=228850", "레이언스 차트보기")</f>
        <v>레이언스 차트보기</v>
      </c>
    </row>
    <row r="956" spans="1:33" x14ac:dyDescent="0.3">
      <c r="A956" t="s">
        <v>3851</v>
      </c>
      <c r="B956" t="s">
        <v>55</v>
      </c>
      <c r="C956" t="s">
        <v>3852</v>
      </c>
      <c r="D956">
        <v>365843.1</v>
      </c>
      <c r="E956" t="s">
        <v>3853</v>
      </c>
      <c r="F956">
        <v>0</v>
      </c>
      <c r="G956">
        <v>3.7100000381469731</v>
      </c>
      <c r="H956">
        <v>0</v>
      </c>
      <c r="I956">
        <v>0</v>
      </c>
      <c r="J956" t="s">
        <v>3854</v>
      </c>
      <c r="K956">
        <v>7230</v>
      </c>
      <c r="L956">
        <v>7830</v>
      </c>
      <c r="M956">
        <v>8.3000000000000007</v>
      </c>
      <c r="N956">
        <v>6.24</v>
      </c>
      <c r="O956">
        <v>-1.06</v>
      </c>
      <c r="P956">
        <v>24.06</v>
      </c>
      <c r="Q956">
        <v>-1.1299999999999999</v>
      </c>
      <c r="R956">
        <v>1.02</v>
      </c>
      <c r="S956">
        <v>-12.26</v>
      </c>
      <c r="T956">
        <v>3.51</v>
      </c>
      <c r="U956">
        <v>2.77</v>
      </c>
      <c r="V956">
        <v>5.04</v>
      </c>
      <c r="W956">
        <v>5.45</v>
      </c>
      <c r="X956">
        <v>2.67</v>
      </c>
      <c r="Y956">
        <v>1.51</v>
      </c>
      <c r="Z956">
        <v>1.78</v>
      </c>
      <c r="AA956">
        <v>0.38</v>
      </c>
      <c r="AB956">
        <v>4.7699999999999996</v>
      </c>
      <c r="AC956">
        <v>0.21</v>
      </c>
      <c r="AD956">
        <v>0.38</v>
      </c>
      <c r="AE956">
        <v>8.1199999999999992</v>
      </c>
      <c r="AF956">
        <v>2.606666666666666</v>
      </c>
      <c r="AG956" t="str">
        <f>HYPERLINK("https://finance.naver.com/item/fchart.naver?code=206560", "덱스터 차트보기")</f>
        <v>덱스터 차트보기</v>
      </c>
    </row>
    <row r="957" spans="1:33" x14ac:dyDescent="0.3">
      <c r="A957" t="s">
        <v>3855</v>
      </c>
      <c r="B957" t="s">
        <v>34</v>
      </c>
      <c r="C957" t="s">
        <v>3856</v>
      </c>
      <c r="D957">
        <v>20013.71</v>
      </c>
      <c r="E957" t="s">
        <v>3857</v>
      </c>
      <c r="F957">
        <v>498.97</v>
      </c>
      <c r="G957">
        <v>2.2400000095367432</v>
      </c>
      <c r="H957">
        <v>39</v>
      </c>
      <c r="I957">
        <v>0</v>
      </c>
      <c r="J957" t="s">
        <v>3858</v>
      </c>
      <c r="K957">
        <v>24350</v>
      </c>
      <c r="L957">
        <v>19460</v>
      </c>
      <c r="M957">
        <v>-20.079999999999998</v>
      </c>
      <c r="N957">
        <v>-8.2100000000000009</v>
      </c>
      <c r="O957">
        <v>0.24</v>
      </c>
      <c r="P957">
        <v>6.68</v>
      </c>
      <c r="Q957">
        <v>-3.27</v>
      </c>
      <c r="R957">
        <v>-2.5099999999999998</v>
      </c>
      <c r="S957">
        <v>-14.09</v>
      </c>
      <c r="T957">
        <v>2.5099999999999998</v>
      </c>
      <c r="U957">
        <v>1.6</v>
      </c>
      <c r="V957">
        <v>2.19</v>
      </c>
      <c r="W957">
        <v>2.97</v>
      </c>
      <c r="X957">
        <v>1.73</v>
      </c>
      <c r="Y957">
        <v>2.13</v>
      </c>
      <c r="Z957">
        <v>3.27</v>
      </c>
      <c r="AA957">
        <v>0.15</v>
      </c>
      <c r="AB957">
        <v>3.05</v>
      </c>
      <c r="AC957">
        <v>1.1000000000000001</v>
      </c>
      <c r="AD957">
        <v>1.45</v>
      </c>
      <c r="AE957">
        <v>6.62</v>
      </c>
      <c r="AF957">
        <v>2.6066666666666669</v>
      </c>
      <c r="AG957" t="str">
        <f>HYPERLINK("https://finance.naver.com/item/fchart.naver?code=271940", "일진하이솔루스 차트보기")</f>
        <v>일진하이솔루스 차트보기</v>
      </c>
    </row>
    <row r="958" spans="1:33" x14ac:dyDescent="0.3">
      <c r="A958" t="s">
        <v>3859</v>
      </c>
      <c r="B958" t="s">
        <v>34</v>
      </c>
      <c r="C958" t="s">
        <v>3860</v>
      </c>
      <c r="D958">
        <v>185528.52</v>
      </c>
      <c r="E958" t="s">
        <v>3861</v>
      </c>
      <c r="F958">
        <v>0</v>
      </c>
      <c r="G958">
        <v>0</v>
      </c>
      <c r="H958">
        <v>0</v>
      </c>
      <c r="I958">
        <v>0</v>
      </c>
      <c r="J958" t="s">
        <v>3862</v>
      </c>
      <c r="K958">
        <v>5380</v>
      </c>
      <c r="L958">
        <v>4465</v>
      </c>
      <c r="M958">
        <v>-17.010000000000002</v>
      </c>
      <c r="N958">
        <v>-5.5</v>
      </c>
      <c r="O958">
        <v>6.3</v>
      </c>
      <c r="P958">
        <v>-0.94</v>
      </c>
      <c r="Q958">
        <v>-8.67</v>
      </c>
      <c r="R958">
        <v>7.31</v>
      </c>
      <c r="S958">
        <v>-1.19</v>
      </c>
      <c r="T958">
        <v>2.0099999999999998</v>
      </c>
      <c r="U958">
        <v>7.34</v>
      </c>
      <c r="V958">
        <v>2.1</v>
      </c>
      <c r="W958">
        <v>2.4700000000000002</v>
      </c>
      <c r="X958">
        <v>1.1599999999999999</v>
      </c>
      <c r="Y958">
        <v>0.66</v>
      </c>
      <c r="Z958">
        <v>2.74</v>
      </c>
      <c r="AA958">
        <v>0.86</v>
      </c>
      <c r="AB958">
        <v>0.45</v>
      </c>
      <c r="AC958">
        <v>3.51</v>
      </c>
      <c r="AD958">
        <v>6.3</v>
      </c>
      <c r="AE958">
        <v>1.8</v>
      </c>
      <c r="AF958">
        <v>2.61</v>
      </c>
      <c r="AG958" t="str">
        <f>HYPERLINK("https://finance.naver.com/item/fchart.naver?code=36328K", "티와이홀딩스우 차트보기")</f>
        <v>티와이홀딩스우 차트보기</v>
      </c>
    </row>
    <row r="959" spans="1:33" x14ac:dyDescent="0.3">
      <c r="A959" t="s">
        <v>3863</v>
      </c>
      <c r="B959" t="s">
        <v>55</v>
      </c>
      <c r="C959" t="s">
        <v>3864</v>
      </c>
      <c r="D959">
        <v>322876</v>
      </c>
      <c r="E959" t="s">
        <v>3865</v>
      </c>
      <c r="F959">
        <v>0</v>
      </c>
      <c r="G959">
        <v>3.0399999618530269</v>
      </c>
      <c r="H959">
        <v>0</v>
      </c>
      <c r="I959">
        <v>0</v>
      </c>
      <c r="J959" t="s">
        <v>3866</v>
      </c>
      <c r="K959">
        <v>23250</v>
      </c>
      <c r="L959">
        <v>18300</v>
      </c>
      <c r="M959">
        <v>-21.29</v>
      </c>
      <c r="N959">
        <v>2.92</v>
      </c>
      <c r="O959">
        <v>-2.75</v>
      </c>
      <c r="P959">
        <v>-4.55</v>
      </c>
      <c r="Q959">
        <v>14.59</v>
      </c>
      <c r="R959">
        <v>-22.56</v>
      </c>
      <c r="S959">
        <v>-3.27</v>
      </c>
      <c r="T959">
        <v>3.34</v>
      </c>
      <c r="U959">
        <v>3.73</v>
      </c>
      <c r="V959">
        <v>3.68</v>
      </c>
      <c r="W959">
        <v>6.9</v>
      </c>
      <c r="X959">
        <v>2.37</v>
      </c>
      <c r="Y959">
        <v>2.78</v>
      </c>
      <c r="Z959">
        <v>0.87</v>
      </c>
      <c r="AA959">
        <v>0.74</v>
      </c>
      <c r="AB959">
        <v>1.24</v>
      </c>
      <c r="AC959">
        <v>2.11</v>
      </c>
      <c r="AD959">
        <v>9.52</v>
      </c>
      <c r="AE959">
        <v>1.18</v>
      </c>
      <c r="AF959">
        <v>2.61</v>
      </c>
      <c r="AG959" t="str">
        <f>HYPERLINK("https://finance.naver.com/item/fchart.naver?code=378340", "필에너지 차트보기")</f>
        <v>필에너지 차트보기</v>
      </c>
    </row>
    <row r="960" spans="1:33" x14ac:dyDescent="0.3">
      <c r="A960" t="s">
        <v>3867</v>
      </c>
      <c r="B960" t="s">
        <v>34</v>
      </c>
      <c r="C960" t="s">
        <v>3868</v>
      </c>
      <c r="D960">
        <v>70982.429999999993</v>
      </c>
      <c r="E960" t="s">
        <v>3869</v>
      </c>
      <c r="F960">
        <v>8.02</v>
      </c>
      <c r="G960">
        <v>0.46000000834465032</v>
      </c>
      <c r="H960">
        <v>10357</v>
      </c>
      <c r="I960">
        <v>0.60000002384185791</v>
      </c>
      <c r="J960" t="s">
        <v>3870</v>
      </c>
      <c r="K960">
        <v>114600</v>
      </c>
      <c r="L960">
        <v>83100</v>
      </c>
      <c r="M960">
        <v>-27.49</v>
      </c>
      <c r="N960">
        <v>-6</v>
      </c>
      <c r="O960">
        <v>-5.49</v>
      </c>
      <c r="P960">
        <v>-1.06</v>
      </c>
      <c r="Q960">
        <v>-4.55</v>
      </c>
      <c r="R960">
        <v>3.36</v>
      </c>
      <c r="S960">
        <v>-8.2899999999999991</v>
      </c>
      <c r="T960">
        <v>2.8</v>
      </c>
      <c r="U960">
        <v>1.48</v>
      </c>
      <c r="V960">
        <v>3.03</v>
      </c>
      <c r="W960">
        <v>2.63</v>
      </c>
      <c r="X960">
        <v>1.61</v>
      </c>
      <c r="Y960">
        <v>1.47</v>
      </c>
      <c r="Z960">
        <v>2.14</v>
      </c>
      <c r="AA960">
        <v>3.71</v>
      </c>
      <c r="AB960">
        <v>0.35</v>
      </c>
      <c r="AC960">
        <v>1.73</v>
      </c>
      <c r="AD960">
        <v>2.09</v>
      </c>
      <c r="AE960">
        <v>5.64</v>
      </c>
      <c r="AF960">
        <v>2.61</v>
      </c>
      <c r="AG960" t="str">
        <f>HYPERLINK("https://finance.naver.com/item/fchart.naver?code=000120", "CJ대한통운 차트보기")</f>
        <v>CJ대한통운 차트보기</v>
      </c>
    </row>
    <row r="961" spans="1:33" x14ac:dyDescent="0.3">
      <c r="A961" t="s">
        <v>3871</v>
      </c>
      <c r="B961" t="s">
        <v>55</v>
      </c>
      <c r="C961" t="s">
        <v>3872</v>
      </c>
      <c r="D961">
        <v>296801.67</v>
      </c>
      <c r="E961" t="s">
        <v>3873</v>
      </c>
      <c r="F961">
        <v>8.3699999999999992</v>
      </c>
      <c r="G961">
        <v>0.94999998807907104</v>
      </c>
      <c r="H961">
        <v>203</v>
      </c>
      <c r="I961">
        <v>0</v>
      </c>
      <c r="J961" t="s">
        <v>3874</v>
      </c>
      <c r="K961">
        <v>1536</v>
      </c>
      <c r="L961">
        <v>1699</v>
      </c>
      <c r="M961">
        <v>10.61</v>
      </c>
      <c r="N961">
        <v>35.92</v>
      </c>
      <c r="O961">
        <v>-2.25</v>
      </c>
      <c r="P961">
        <v>2.5499999999999998</v>
      </c>
      <c r="Q961">
        <v>-5.89</v>
      </c>
      <c r="R961">
        <v>-2.13</v>
      </c>
      <c r="S961">
        <v>-4.24</v>
      </c>
      <c r="T961">
        <v>5.14</v>
      </c>
      <c r="U961">
        <v>2.31</v>
      </c>
      <c r="V961">
        <v>1.84</v>
      </c>
      <c r="W961">
        <v>3.97</v>
      </c>
      <c r="X961">
        <v>1.17</v>
      </c>
      <c r="Y961">
        <v>1.41</v>
      </c>
      <c r="Z961">
        <v>6.99</v>
      </c>
      <c r="AA961">
        <v>0.97</v>
      </c>
      <c r="AB961">
        <v>1.39</v>
      </c>
      <c r="AC961">
        <v>1.48</v>
      </c>
      <c r="AD961">
        <v>1.82</v>
      </c>
      <c r="AE961">
        <v>3.01</v>
      </c>
      <c r="AF961">
        <v>2.61</v>
      </c>
      <c r="AG961" t="str">
        <f>HYPERLINK("https://finance.naver.com/item/fchart.naver?code=335870", "윙스풋 차트보기")</f>
        <v>윙스풋 차트보기</v>
      </c>
    </row>
    <row r="962" spans="1:33" x14ac:dyDescent="0.3">
      <c r="A962" t="s">
        <v>3875</v>
      </c>
      <c r="B962" t="s">
        <v>34</v>
      </c>
      <c r="C962" t="s">
        <v>3876</v>
      </c>
      <c r="D962">
        <v>165814.9</v>
      </c>
      <c r="E962" t="s">
        <v>3877</v>
      </c>
      <c r="F962">
        <v>11.76</v>
      </c>
      <c r="G962">
        <v>0.97000002861022949</v>
      </c>
      <c r="H962">
        <v>1252</v>
      </c>
      <c r="I962">
        <v>6.1100001335144043</v>
      </c>
      <c r="J962" t="s">
        <v>3878</v>
      </c>
      <c r="K962">
        <v>11740</v>
      </c>
      <c r="L962">
        <v>14720</v>
      </c>
      <c r="M962">
        <v>25.38</v>
      </c>
      <c r="N962">
        <v>15.36</v>
      </c>
      <c r="O962">
        <v>7.1</v>
      </c>
      <c r="P962">
        <v>-2.96</v>
      </c>
      <c r="Q962">
        <v>-5.59</v>
      </c>
      <c r="R962">
        <v>18.739999999999998</v>
      </c>
      <c r="S962">
        <v>14.63</v>
      </c>
      <c r="T962">
        <v>3.6</v>
      </c>
      <c r="U962">
        <v>2.77</v>
      </c>
      <c r="V962">
        <v>2.82</v>
      </c>
      <c r="W962">
        <v>4.72</v>
      </c>
      <c r="X962">
        <v>6.22</v>
      </c>
      <c r="Y962">
        <v>4.05</v>
      </c>
      <c r="Z962">
        <v>4.2699999999999996</v>
      </c>
      <c r="AA962">
        <v>2.56</v>
      </c>
      <c r="AB962">
        <v>1.05</v>
      </c>
      <c r="AC962">
        <v>1.18</v>
      </c>
      <c r="AD962">
        <v>3.01</v>
      </c>
      <c r="AE962">
        <v>3.61</v>
      </c>
      <c r="AF962">
        <v>2.6133333333333328</v>
      </c>
      <c r="AG962" t="str">
        <f>HYPERLINK("https://finance.naver.com/item/fchart.naver?code=100840", "SNT에너지 차트보기")</f>
        <v>SNT에너지 차트보기</v>
      </c>
    </row>
    <row r="963" spans="1:33" x14ac:dyDescent="0.3">
      <c r="A963" t="s">
        <v>3879</v>
      </c>
      <c r="B963" t="s">
        <v>55</v>
      </c>
      <c r="C963" t="s">
        <v>3880</v>
      </c>
      <c r="D963">
        <v>52626.14</v>
      </c>
      <c r="E963" t="s">
        <v>3881</v>
      </c>
      <c r="F963">
        <v>5.31</v>
      </c>
      <c r="G963">
        <v>0.74000000953674316</v>
      </c>
      <c r="H963">
        <v>543</v>
      </c>
      <c r="I963">
        <v>1.389999985694885</v>
      </c>
      <c r="J963" t="s">
        <v>3882</v>
      </c>
      <c r="K963">
        <v>3805</v>
      </c>
      <c r="L963">
        <v>2885</v>
      </c>
      <c r="M963">
        <v>-24.18</v>
      </c>
      <c r="N963">
        <v>2.4900000000000002</v>
      </c>
      <c r="O963">
        <v>0.71</v>
      </c>
      <c r="P963">
        <v>-5.44</v>
      </c>
      <c r="Q963">
        <v>-2.56</v>
      </c>
      <c r="R963">
        <v>-6.64</v>
      </c>
      <c r="S963">
        <v>-6.69</v>
      </c>
      <c r="T963">
        <v>0.73</v>
      </c>
      <c r="U963">
        <v>1.24</v>
      </c>
      <c r="V963">
        <v>1.78</v>
      </c>
      <c r="W963">
        <v>4.1100000000000003</v>
      </c>
      <c r="X963">
        <v>1.5</v>
      </c>
      <c r="Y963">
        <v>1.86</v>
      </c>
      <c r="Z963">
        <v>3.41</v>
      </c>
      <c r="AA963">
        <v>0.56999999999999995</v>
      </c>
      <c r="AB963">
        <v>3.06</v>
      </c>
      <c r="AC963">
        <v>0.62</v>
      </c>
      <c r="AD963">
        <v>4.43</v>
      </c>
      <c r="AE963">
        <v>3.6</v>
      </c>
      <c r="AF963">
        <v>2.6150000000000002</v>
      </c>
      <c r="AG963" t="str">
        <f>HYPERLINK("https://finance.naver.com/item/fchart.naver?code=241520", "DSC인베스트먼트 차트보기")</f>
        <v>DSC인베스트먼트 차트보기</v>
      </c>
    </row>
    <row r="964" spans="1:33" x14ac:dyDescent="0.3">
      <c r="A964" t="s">
        <v>3883</v>
      </c>
      <c r="B964" t="s">
        <v>55</v>
      </c>
      <c r="C964" t="s">
        <v>3884</v>
      </c>
      <c r="D964">
        <v>77427.33</v>
      </c>
      <c r="E964" t="s">
        <v>3885</v>
      </c>
      <c r="F964">
        <v>8.2899999999999991</v>
      </c>
      <c r="G964">
        <v>1.2100000381469731</v>
      </c>
      <c r="H964">
        <v>2278</v>
      </c>
      <c r="I964">
        <v>2.119999885559082</v>
      </c>
      <c r="J964" t="s">
        <v>3886</v>
      </c>
      <c r="K964">
        <v>29100</v>
      </c>
      <c r="L964">
        <v>18880</v>
      </c>
      <c r="M964">
        <v>-35.119999999999997</v>
      </c>
      <c r="N964">
        <v>-4.26</v>
      </c>
      <c r="O964">
        <v>-1.66</v>
      </c>
      <c r="P964">
        <v>-2.76</v>
      </c>
      <c r="Q964">
        <v>-4.99</v>
      </c>
      <c r="R964">
        <v>-16.37</v>
      </c>
      <c r="S964">
        <v>3.47</v>
      </c>
      <c r="T964">
        <v>3.31</v>
      </c>
      <c r="U964">
        <v>1.97</v>
      </c>
      <c r="V964">
        <v>3.01</v>
      </c>
      <c r="W964">
        <v>2.69</v>
      </c>
      <c r="X964">
        <v>1.77</v>
      </c>
      <c r="Y964">
        <v>2.27</v>
      </c>
      <c r="Z964">
        <v>1.29</v>
      </c>
      <c r="AA964">
        <v>0.84</v>
      </c>
      <c r="AB964">
        <v>0.92</v>
      </c>
      <c r="AC964">
        <v>1.86</v>
      </c>
      <c r="AD964">
        <v>9.25</v>
      </c>
      <c r="AE964">
        <v>1.53</v>
      </c>
      <c r="AF964">
        <v>2.6150000000000002</v>
      </c>
      <c r="AG964" t="str">
        <f>HYPERLINK("https://finance.naver.com/item/fchart.naver?code=054950", "제이브이엠 차트보기")</f>
        <v>제이브이엠 차트보기</v>
      </c>
    </row>
    <row r="965" spans="1:33" x14ac:dyDescent="0.3">
      <c r="A965" t="s">
        <v>3887</v>
      </c>
      <c r="B965" t="s">
        <v>55</v>
      </c>
      <c r="C965" t="s">
        <v>3888</v>
      </c>
      <c r="D965">
        <v>154052.04999999999</v>
      </c>
      <c r="E965" t="s">
        <v>3889</v>
      </c>
      <c r="F965">
        <v>0</v>
      </c>
      <c r="G965">
        <v>1.379999995231628</v>
      </c>
      <c r="H965">
        <v>0</v>
      </c>
      <c r="I965">
        <v>0</v>
      </c>
      <c r="J965" t="s">
        <v>3890</v>
      </c>
      <c r="K965">
        <v>501</v>
      </c>
      <c r="L965">
        <v>486</v>
      </c>
      <c r="M965">
        <v>-2.99</v>
      </c>
      <c r="N965">
        <v>9.7100000000000009</v>
      </c>
      <c r="O965">
        <v>-3.48</v>
      </c>
      <c r="P965">
        <v>-3.29</v>
      </c>
      <c r="Q965">
        <v>5.23</v>
      </c>
      <c r="R965">
        <v>1.49</v>
      </c>
      <c r="S965">
        <v>-2.92</v>
      </c>
      <c r="T965">
        <v>1.44</v>
      </c>
      <c r="U965">
        <v>0.97</v>
      </c>
      <c r="V965">
        <v>2.2799999999999998</v>
      </c>
      <c r="W965">
        <v>3.14</v>
      </c>
      <c r="X965">
        <v>4.26</v>
      </c>
      <c r="Y965">
        <v>1.54</v>
      </c>
      <c r="Z965">
        <v>6.74</v>
      </c>
      <c r="AA965">
        <v>3.59</v>
      </c>
      <c r="AB965">
        <v>1.44</v>
      </c>
      <c r="AC965">
        <v>1.67</v>
      </c>
      <c r="AD965">
        <v>0.35</v>
      </c>
      <c r="AE965">
        <v>1.9</v>
      </c>
      <c r="AF965">
        <v>2.6150000000000002</v>
      </c>
      <c r="AG965" t="str">
        <f>HYPERLINK("https://finance.naver.com/item/fchart.naver?code=054220", "비츠로시스 차트보기")</f>
        <v>비츠로시스 차트보기</v>
      </c>
    </row>
    <row r="966" spans="1:33" x14ac:dyDescent="0.3">
      <c r="A966" t="s">
        <v>3891</v>
      </c>
      <c r="B966" t="s">
        <v>34</v>
      </c>
      <c r="C966" t="s">
        <v>3892</v>
      </c>
      <c r="D966">
        <v>93340.479999999996</v>
      </c>
      <c r="E966" t="s">
        <v>3893</v>
      </c>
      <c r="F966">
        <v>22.31</v>
      </c>
      <c r="G966">
        <v>0.41999998688697809</v>
      </c>
      <c r="H966">
        <v>145</v>
      </c>
      <c r="I966">
        <v>0</v>
      </c>
      <c r="J966" t="s">
        <v>3894</v>
      </c>
      <c r="K966">
        <v>4635</v>
      </c>
      <c r="L966">
        <v>3235</v>
      </c>
      <c r="M966">
        <v>-30.2</v>
      </c>
      <c r="N966">
        <v>2.37</v>
      </c>
      <c r="O966">
        <v>-5.87</v>
      </c>
      <c r="P966">
        <v>1.47</v>
      </c>
      <c r="Q966">
        <v>-15.06</v>
      </c>
      <c r="R966">
        <v>-8.42</v>
      </c>
      <c r="S966">
        <v>-9.51</v>
      </c>
      <c r="T966">
        <v>1.71</v>
      </c>
      <c r="U966">
        <v>1.97</v>
      </c>
      <c r="V966">
        <v>2.65</v>
      </c>
      <c r="W966">
        <v>3.99</v>
      </c>
      <c r="X966">
        <v>2.85</v>
      </c>
      <c r="Y966">
        <v>2.35</v>
      </c>
      <c r="Z966">
        <v>1.39</v>
      </c>
      <c r="AA966">
        <v>2.98</v>
      </c>
      <c r="AB966">
        <v>0.55000000000000004</v>
      </c>
      <c r="AC966">
        <v>3.77</v>
      </c>
      <c r="AD966">
        <v>2.95</v>
      </c>
      <c r="AE966">
        <v>4.05</v>
      </c>
      <c r="AF966">
        <v>2.6150000000000002</v>
      </c>
      <c r="AG966" t="str">
        <f>HYPERLINK("https://finance.naver.com/item/fchart.naver?code=000680", "LS네트웍스 차트보기")</f>
        <v>LS네트웍스 차트보기</v>
      </c>
    </row>
    <row r="967" spans="1:33" x14ac:dyDescent="0.3">
      <c r="A967" t="s">
        <v>3895</v>
      </c>
      <c r="B967" t="s">
        <v>55</v>
      </c>
      <c r="C967" t="s">
        <v>3896</v>
      </c>
      <c r="D967">
        <v>843052.52</v>
      </c>
      <c r="E967" t="s">
        <v>3897</v>
      </c>
      <c r="F967">
        <v>6.3</v>
      </c>
      <c r="G967">
        <v>0.70999997854232788</v>
      </c>
      <c r="H967">
        <v>432</v>
      </c>
      <c r="I967">
        <v>4.4099998474121094</v>
      </c>
      <c r="J967" t="s">
        <v>3898</v>
      </c>
      <c r="K967">
        <v>3005</v>
      </c>
      <c r="L967">
        <v>2720</v>
      </c>
      <c r="M967">
        <v>-9.48</v>
      </c>
      <c r="N967">
        <v>7.72</v>
      </c>
      <c r="O967">
        <v>7.07</v>
      </c>
      <c r="P967">
        <v>0.41</v>
      </c>
      <c r="Q967">
        <v>-6.54</v>
      </c>
      <c r="R967">
        <v>-4.45</v>
      </c>
      <c r="S967">
        <v>-9.43</v>
      </c>
      <c r="T967">
        <v>3.38</v>
      </c>
      <c r="U967">
        <v>2.64</v>
      </c>
      <c r="V967">
        <v>1.77</v>
      </c>
      <c r="W967">
        <v>3.27</v>
      </c>
      <c r="X967">
        <v>1.86</v>
      </c>
      <c r="Y967">
        <v>1.54</v>
      </c>
      <c r="Z967">
        <v>2.2799999999999998</v>
      </c>
      <c r="AA967">
        <v>2.68</v>
      </c>
      <c r="AB967">
        <v>0.23</v>
      </c>
      <c r="AC967">
        <v>2</v>
      </c>
      <c r="AD967">
        <v>2.39</v>
      </c>
      <c r="AE967">
        <v>6.12</v>
      </c>
      <c r="AF967">
        <v>2.6166666666666671</v>
      </c>
      <c r="AG967" t="str">
        <f>HYPERLINK("https://finance.naver.com/item/fchart.naver?code=021080", "에이티넘인베스트 차트보기")</f>
        <v>에이티넘인베스트 차트보기</v>
      </c>
    </row>
    <row r="968" spans="1:33" x14ac:dyDescent="0.3">
      <c r="A968" t="s">
        <v>3899</v>
      </c>
      <c r="B968" t="s">
        <v>34</v>
      </c>
      <c r="C968" t="s">
        <v>3900</v>
      </c>
      <c r="D968">
        <v>25394.9</v>
      </c>
      <c r="E968" t="s">
        <v>3901</v>
      </c>
      <c r="F968">
        <v>0</v>
      </c>
      <c r="G968">
        <v>0</v>
      </c>
      <c r="H968">
        <v>0</v>
      </c>
      <c r="I968">
        <v>5.2199997901916504</v>
      </c>
      <c r="J968" t="s">
        <v>3902</v>
      </c>
      <c r="K968">
        <v>14880</v>
      </c>
      <c r="L968">
        <v>15330</v>
      </c>
      <c r="M968">
        <v>3.02</v>
      </c>
      <c r="N968">
        <v>2.13</v>
      </c>
      <c r="O968">
        <v>-1.32</v>
      </c>
      <c r="P968">
        <v>-0.19</v>
      </c>
      <c r="Q968">
        <v>-4.3</v>
      </c>
      <c r="R968">
        <v>5.7</v>
      </c>
      <c r="S968">
        <v>0.53</v>
      </c>
      <c r="T968">
        <v>0.79</v>
      </c>
      <c r="U968">
        <v>0.62</v>
      </c>
      <c r="V968">
        <v>1.19</v>
      </c>
      <c r="W968">
        <v>1.8</v>
      </c>
      <c r="X968">
        <v>0.81</v>
      </c>
      <c r="Y968">
        <v>0.41</v>
      </c>
      <c r="Z968">
        <v>2.7</v>
      </c>
      <c r="AA968">
        <v>2.13</v>
      </c>
      <c r="AB968">
        <v>0.16</v>
      </c>
      <c r="AC968">
        <v>2.39</v>
      </c>
      <c r="AD968">
        <v>7.04</v>
      </c>
      <c r="AE968">
        <v>1.29</v>
      </c>
      <c r="AF968">
        <v>2.6183333333333341</v>
      </c>
      <c r="AG968" t="str">
        <f>HYPERLINK("https://finance.naver.com/item/fchart.naver?code=00088K", "한화3우B 차트보기")</f>
        <v>한화3우B 차트보기</v>
      </c>
    </row>
    <row r="969" spans="1:33" x14ac:dyDescent="0.3">
      <c r="A969" t="s">
        <v>3903</v>
      </c>
      <c r="B969" t="s">
        <v>55</v>
      </c>
      <c r="C969" t="s">
        <v>3904</v>
      </c>
      <c r="D969">
        <v>2457158</v>
      </c>
      <c r="E969" t="s">
        <v>3905</v>
      </c>
      <c r="F969">
        <v>21.96</v>
      </c>
      <c r="G969">
        <v>2.5399999618530269</v>
      </c>
      <c r="H969">
        <v>434</v>
      </c>
      <c r="I969">
        <v>0</v>
      </c>
      <c r="J969" t="s">
        <v>3906</v>
      </c>
      <c r="K969">
        <v>11200</v>
      </c>
      <c r="L969">
        <v>9530</v>
      </c>
      <c r="M969">
        <v>-14.91</v>
      </c>
      <c r="N969">
        <v>9.0399999999999991</v>
      </c>
      <c r="O969">
        <v>-9.09</v>
      </c>
      <c r="P969">
        <v>-6.37</v>
      </c>
      <c r="Q969">
        <v>10.57</v>
      </c>
      <c r="R969">
        <v>-14.26</v>
      </c>
      <c r="S969">
        <v>-0.82</v>
      </c>
      <c r="T969">
        <v>11.61</v>
      </c>
      <c r="U969">
        <v>3.99</v>
      </c>
      <c r="V969">
        <v>2.4500000000000002</v>
      </c>
      <c r="W969">
        <v>5.82</v>
      </c>
      <c r="X969">
        <v>1.8</v>
      </c>
      <c r="Y969">
        <v>2.67</v>
      </c>
      <c r="Z969">
        <v>0.78</v>
      </c>
      <c r="AA969">
        <v>2.2799999999999998</v>
      </c>
      <c r="AB969">
        <v>2.6</v>
      </c>
      <c r="AC969">
        <v>1.82</v>
      </c>
      <c r="AD969">
        <v>7.92</v>
      </c>
      <c r="AE969">
        <v>0.31</v>
      </c>
      <c r="AF969">
        <v>2.6183333333333341</v>
      </c>
      <c r="AG969" t="str">
        <f>HYPERLINK("https://finance.naver.com/item/fchart.naver?code=222080", "씨아이에스 차트보기")</f>
        <v>씨아이에스 차트보기</v>
      </c>
    </row>
    <row r="970" spans="1:33" x14ac:dyDescent="0.3">
      <c r="A970" t="s">
        <v>3907</v>
      </c>
      <c r="B970" t="s">
        <v>55</v>
      </c>
      <c r="C970" t="s">
        <v>3908</v>
      </c>
      <c r="D970">
        <v>170758.62</v>
      </c>
      <c r="E970" t="s">
        <v>3909</v>
      </c>
      <c r="F970">
        <v>29.47</v>
      </c>
      <c r="G970">
        <v>2.7899999618530269</v>
      </c>
      <c r="H970">
        <v>472</v>
      </c>
      <c r="I970">
        <v>1.1499999761581421</v>
      </c>
      <c r="J970" t="s">
        <v>3910</v>
      </c>
      <c r="K970">
        <v>12060</v>
      </c>
      <c r="L970">
        <v>13910</v>
      </c>
      <c r="M970">
        <v>15.34</v>
      </c>
      <c r="N970">
        <v>-4.7300000000000004</v>
      </c>
      <c r="O970">
        <v>-13.98</v>
      </c>
      <c r="P970">
        <v>3.34</v>
      </c>
      <c r="Q970">
        <v>-14.83</v>
      </c>
      <c r="R970">
        <v>13.17</v>
      </c>
      <c r="S970">
        <v>3.55</v>
      </c>
      <c r="T970">
        <v>2.34</v>
      </c>
      <c r="U970">
        <v>2.2000000000000002</v>
      </c>
      <c r="V970">
        <v>3.15</v>
      </c>
      <c r="W970">
        <v>4.78</v>
      </c>
      <c r="X970">
        <v>5.45</v>
      </c>
      <c r="Y970">
        <v>4.5999999999999996</v>
      </c>
      <c r="Z970">
        <v>2.02</v>
      </c>
      <c r="AA970">
        <v>6.35</v>
      </c>
      <c r="AB970">
        <v>1.06</v>
      </c>
      <c r="AC970">
        <v>3.1</v>
      </c>
      <c r="AD970">
        <v>2.42</v>
      </c>
      <c r="AE970">
        <v>0.77</v>
      </c>
      <c r="AF970">
        <v>2.62</v>
      </c>
      <c r="AG970" t="str">
        <f>HYPERLINK("https://finance.naver.com/item/fchart.naver?code=060370", "LS마린솔루션 차트보기")</f>
        <v>LS마린솔루션 차트보기</v>
      </c>
    </row>
    <row r="971" spans="1:33" x14ac:dyDescent="0.3">
      <c r="A971" t="s">
        <v>3911</v>
      </c>
      <c r="B971" t="s">
        <v>55</v>
      </c>
      <c r="C971" t="s">
        <v>3912</v>
      </c>
      <c r="D971">
        <v>884406.24</v>
      </c>
      <c r="E971" t="s">
        <v>3913</v>
      </c>
      <c r="F971">
        <v>13.73</v>
      </c>
      <c r="G971">
        <v>0.64999997615814209</v>
      </c>
      <c r="H971">
        <v>91</v>
      </c>
      <c r="I971">
        <v>2</v>
      </c>
      <c r="J971" t="s">
        <v>3914</v>
      </c>
      <c r="K971">
        <v>1659</v>
      </c>
      <c r="L971">
        <v>1249</v>
      </c>
      <c r="M971">
        <v>-24.71</v>
      </c>
      <c r="N971">
        <v>-3.4</v>
      </c>
      <c r="O971">
        <v>-4.33</v>
      </c>
      <c r="P971">
        <v>-0.5</v>
      </c>
      <c r="Q971">
        <v>-8.52</v>
      </c>
      <c r="R971">
        <v>-4.05</v>
      </c>
      <c r="S971">
        <v>-5.7</v>
      </c>
      <c r="T971">
        <v>1.1599999999999999</v>
      </c>
      <c r="U971">
        <v>1.69</v>
      </c>
      <c r="V971">
        <v>1.52</v>
      </c>
      <c r="W971">
        <v>3.16</v>
      </c>
      <c r="X971">
        <v>1.08</v>
      </c>
      <c r="Y971">
        <v>1.65</v>
      </c>
      <c r="Z971">
        <v>2.93</v>
      </c>
      <c r="AA971">
        <v>2.56</v>
      </c>
      <c r="AB971">
        <v>0.33</v>
      </c>
      <c r="AC971">
        <v>2.7</v>
      </c>
      <c r="AD971">
        <v>3.75</v>
      </c>
      <c r="AE971">
        <v>3.45</v>
      </c>
      <c r="AF971">
        <v>2.62</v>
      </c>
      <c r="AG971" t="str">
        <f>HYPERLINK("https://finance.naver.com/item/fchart.naver?code=027710", "팜스토리 차트보기")</f>
        <v>팜스토리 차트보기</v>
      </c>
    </row>
    <row r="972" spans="1:33" x14ac:dyDescent="0.3">
      <c r="A972" t="s">
        <v>3915</v>
      </c>
      <c r="B972" t="s">
        <v>34</v>
      </c>
      <c r="C972" t="s">
        <v>3916</v>
      </c>
      <c r="D972">
        <v>1310801.19</v>
      </c>
      <c r="E972" t="s">
        <v>3917</v>
      </c>
      <c r="F972">
        <v>17.64</v>
      </c>
      <c r="G972">
        <v>1.5900000333786011</v>
      </c>
      <c r="H972">
        <v>1468</v>
      </c>
      <c r="I972">
        <v>3.0099999904632568</v>
      </c>
      <c r="J972" t="s">
        <v>3918</v>
      </c>
      <c r="K972">
        <v>19010</v>
      </c>
      <c r="L972">
        <v>25900</v>
      </c>
      <c r="M972">
        <v>36.24</v>
      </c>
      <c r="N972">
        <v>-1.89</v>
      </c>
      <c r="O972">
        <v>41.23</v>
      </c>
      <c r="P972">
        <v>4.25</v>
      </c>
      <c r="Q972">
        <v>-0.37</v>
      </c>
      <c r="R972">
        <v>-4.71</v>
      </c>
      <c r="S972">
        <v>3.78</v>
      </c>
      <c r="T972">
        <v>2.79</v>
      </c>
      <c r="U972">
        <v>9.23</v>
      </c>
      <c r="V972">
        <v>1.41</v>
      </c>
      <c r="W972">
        <v>1.5</v>
      </c>
      <c r="X972">
        <v>0.83</v>
      </c>
      <c r="Y972">
        <v>2.2999999999999998</v>
      </c>
      <c r="Z972">
        <v>0.68</v>
      </c>
      <c r="AA972">
        <v>4.47</v>
      </c>
      <c r="AB972">
        <v>3.01</v>
      </c>
      <c r="AC972">
        <v>0.25</v>
      </c>
      <c r="AD972">
        <v>5.67</v>
      </c>
      <c r="AE972">
        <v>1.64</v>
      </c>
      <c r="AF972">
        <v>2.62</v>
      </c>
      <c r="AG972" t="str">
        <f>HYPERLINK("https://finance.naver.com/item/fchart.naver?code=026960", "동서 차트보기")</f>
        <v>동서 차트보기</v>
      </c>
    </row>
    <row r="973" spans="1:33" x14ac:dyDescent="0.3">
      <c r="A973" t="s">
        <v>3919</v>
      </c>
      <c r="B973" t="s">
        <v>55</v>
      </c>
      <c r="C973" t="s">
        <v>3920</v>
      </c>
      <c r="D973">
        <v>1033932</v>
      </c>
      <c r="E973" t="s">
        <v>3921</v>
      </c>
      <c r="F973">
        <v>0</v>
      </c>
      <c r="G973">
        <v>2.2699999809265141</v>
      </c>
      <c r="H973">
        <v>0</v>
      </c>
      <c r="I973">
        <v>0</v>
      </c>
      <c r="J973" t="s">
        <v>3922</v>
      </c>
      <c r="K973">
        <v>18790</v>
      </c>
      <c r="L973">
        <v>9300</v>
      </c>
      <c r="M973">
        <v>-50.51</v>
      </c>
      <c r="N973">
        <v>-33.090000000000003</v>
      </c>
      <c r="O973">
        <v>25.87</v>
      </c>
      <c r="P973">
        <v>-7.21</v>
      </c>
      <c r="Q973">
        <v>-13.06</v>
      </c>
      <c r="R973">
        <v>1.1599999999999999</v>
      </c>
      <c r="S973">
        <v>8.0299999999999994</v>
      </c>
      <c r="T973">
        <v>13.62</v>
      </c>
      <c r="U973">
        <v>4.55</v>
      </c>
      <c r="V973">
        <v>3.69</v>
      </c>
      <c r="W973">
        <v>4.33</v>
      </c>
      <c r="X973">
        <v>4.01</v>
      </c>
      <c r="Y973">
        <v>3.41</v>
      </c>
      <c r="Z973">
        <v>2.4300000000000002</v>
      </c>
      <c r="AA973">
        <v>5.69</v>
      </c>
      <c r="AB973">
        <v>1.95</v>
      </c>
      <c r="AC973">
        <v>3.02</v>
      </c>
      <c r="AD973">
        <v>0.28999999999999998</v>
      </c>
      <c r="AE973">
        <v>2.35</v>
      </c>
      <c r="AF973">
        <v>2.621666666666667</v>
      </c>
      <c r="AG973" t="str">
        <f>HYPERLINK("https://finance.naver.com/item/fchart.naver?code=122640", "예스티 차트보기")</f>
        <v>예스티 차트보기</v>
      </c>
    </row>
    <row r="974" spans="1:33" x14ac:dyDescent="0.3">
      <c r="A974" t="s">
        <v>3923</v>
      </c>
      <c r="B974" t="s">
        <v>55</v>
      </c>
      <c r="C974" t="s">
        <v>3924</v>
      </c>
      <c r="D974">
        <v>121187.71</v>
      </c>
      <c r="E974" t="s">
        <v>3925</v>
      </c>
      <c r="F974">
        <v>0</v>
      </c>
      <c r="G974">
        <v>1.4900000095367429</v>
      </c>
      <c r="H974">
        <v>0</v>
      </c>
      <c r="I974">
        <v>0</v>
      </c>
      <c r="J974" t="s">
        <v>3926</v>
      </c>
      <c r="K974">
        <v>10410</v>
      </c>
      <c r="L974">
        <v>5570</v>
      </c>
      <c r="M974">
        <v>-46.49</v>
      </c>
      <c r="N974">
        <v>-0.36</v>
      </c>
      <c r="O974">
        <v>-7.2</v>
      </c>
      <c r="P974">
        <v>-0.62</v>
      </c>
      <c r="Q974">
        <v>-11.99</v>
      </c>
      <c r="R974">
        <v>-11.79</v>
      </c>
      <c r="S974">
        <v>-14.96</v>
      </c>
      <c r="T974">
        <v>3.36</v>
      </c>
      <c r="U974">
        <v>2.95</v>
      </c>
      <c r="V974">
        <v>3.29</v>
      </c>
      <c r="W974">
        <v>4.9800000000000004</v>
      </c>
      <c r="X974">
        <v>3.41</v>
      </c>
      <c r="Y974">
        <v>2.1</v>
      </c>
      <c r="Z974">
        <v>0.11</v>
      </c>
      <c r="AA974">
        <v>2.44</v>
      </c>
      <c r="AB974">
        <v>0.19</v>
      </c>
      <c r="AC974">
        <v>2.41</v>
      </c>
      <c r="AD974">
        <v>3.46</v>
      </c>
      <c r="AE974">
        <v>7.12</v>
      </c>
      <c r="AF974">
        <v>2.621666666666667</v>
      </c>
      <c r="AG974" t="str">
        <f>HYPERLINK("https://finance.naver.com/item/fchart.naver?code=389140", "포바이포 차트보기")</f>
        <v>포바이포 차트보기</v>
      </c>
    </row>
    <row r="975" spans="1:33" x14ac:dyDescent="0.3">
      <c r="A975" t="s">
        <v>3927</v>
      </c>
      <c r="B975" t="s">
        <v>55</v>
      </c>
      <c r="C975" t="s">
        <v>3928</v>
      </c>
      <c r="D975">
        <v>197876.24</v>
      </c>
      <c r="E975" t="s">
        <v>3929</v>
      </c>
      <c r="F975">
        <v>1936.17</v>
      </c>
      <c r="G975">
        <v>8.6599998474121094</v>
      </c>
      <c r="H975">
        <v>47</v>
      </c>
      <c r="I975">
        <v>0</v>
      </c>
      <c r="J975" t="s">
        <v>3930</v>
      </c>
      <c r="K975">
        <v>99900</v>
      </c>
      <c r="L975">
        <v>91000</v>
      </c>
      <c r="M975">
        <v>-8.91</v>
      </c>
      <c r="N975">
        <v>-11.91</v>
      </c>
      <c r="O975">
        <v>-7.04</v>
      </c>
      <c r="P975">
        <v>-2.35</v>
      </c>
      <c r="Q975">
        <v>-5.88</v>
      </c>
      <c r="R975">
        <v>-22.63</v>
      </c>
      <c r="S975">
        <v>21.39</v>
      </c>
      <c r="T975">
        <v>4.47</v>
      </c>
      <c r="U975">
        <v>3.9</v>
      </c>
      <c r="V975">
        <v>4.29</v>
      </c>
      <c r="W975">
        <v>4.8</v>
      </c>
      <c r="X975">
        <v>3.57</v>
      </c>
      <c r="Y975">
        <v>6.81</v>
      </c>
      <c r="Z975">
        <v>2.66</v>
      </c>
      <c r="AA975">
        <v>1.81</v>
      </c>
      <c r="AB975">
        <v>0.55000000000000004</v>
      </c>
      <c r="AC975">
        <v>1.23</v>
      </c>
      <c r="AD975">
        <v>6.34</v>
      </c>
      <c r="AE975">
        <v>3.14</v>
      </c>
      <c r="AF975">
        <v>2.621666666666667</v>
      </c>
      <c r="AG975" t="str">
        <f>HYPERLINK("https://finance.naver.com/item/fchart.naver?code=078600", "대주전자재료 차트보기")</f>
        <v>대주전자재료 차트보기</v>
      </c>
    </row>
    <row r="976" spans="1:33" x14ac:dyDescent="0.3">
      <c r="A976" t="s">
        <v>3931</v>
      </c>
      <c r="B976" t="s">
        <v>55</v>
      </c>
      <c r="C976" t="s">
        <v>3932</v>
      </c>
      <c r="D976">
        <v>3716.38</v>
      </c>
      <c r="E976" t="s">
        <v>3933</v>
      </c>
      <c r="F976">
        <v>4.34</v>
      </c>
      <c r="G976">
        <v>0.5</v>
      </c>
      <c r="H976">
        <v>6435</v>
      </c>
      <c r="I976">
        <v>4.6599998474121094</v>
      </c>
      <c r="J976" t="s">
        <v>3934</v>
      </c>
      <c r="K976">
        <v>27050</v>
      </c>
      <c r="L976">
        <v>27900</v>
      </c>
      <c r="M976">
        <v>3.14</v>
      </c>
      <c r="N976">
        <v>0.72</v>
      </c>
      <c r="O976">
        <v>0.92</v>
      </c>
      <c r="P976">
        <v>0.18</v>
      </c>
      <c r="Q976">
        <v>8.58</v>
      </c>
      <c r="R976">
        <v>-2.11</v>
      </c>
      <c r="S976">
        <v>-3.54</v>
      </c>
      <c r="T976">
        <v>0.67</v>
      </c>
      <c r="U976">
        <v>0.61</v>
      </c>
      <c r="V976">
        <v>1.54</v>
      </c>
      <c r="W976">
        <v>2.54</v>
      </c>
      <c r="X976">
        <v>0.65</v>
      </c>
      <c r="Y976">
        <v>0.55000000000000004</v>
      </c>
      <c r="Z976">
        <v>1.07</v>
      </c>
      <c r="AA976">
        <v>1.51</v>
      </c>
      <c r="AB976">
        <v>0.12</v>
      </c>
      <c r="AC976">
        <v>3.38</v>
      </c>
      <c r="AD976">
        <v>3.25</v>
      </c>
      <c r="AE976">
        <v>6.44</v>
      </c>
      <c r="AF976">
        <v>2.628333333333333</v>
      </c>
      <c r="AG976" t="str">
        <f>HYPERLINK("https://finance.naver.com/item/fchart.naver?code=036190", "금화피에스시 차트보기")</f>
        <v>금화피에스시 차트보기</v>
      </c>
    </row>
    <row r="977" spans="1:33" x14ac:dyDescent="0.3">
      <c r="A977" t="s">
        <v>3935</v>
      </c>
      <c r="B977" t="s">
        <v>55</v>
      </c>
      <c r="C977" t="s">
        <v>3936</v>
      </c>
      <c r="D977">
        <v>309887.62</v>
      </c>
      <c r="E977" t="s">
        <v>3937</v>
      </c>
      <c r="F977">
        <v>2.98</v>
      </c>
      <c r="G977">
        <v>0.54000002145767212</v>
      </c>
      <c r="H977">
        <v>736</v>
      </c>
      <c r="I977">
        <v>2.279999971389771</v>
      </c>
      <c r="J977" t="s">
        <v>3938</v>
      </c>
      <c r="K977">
        <v>2725</v>
      </c>
      <c r="L977">
        <v>2190</v>
      </c>
      <c r="M977">
        <v>-19.63</v>
      </c>
      <c r="N977">
        <v>-1.79</v>
      </c>
      <c r="O977">
        <v>-3.26</v>
      </c>
      <c r="P977">
        <v>-4.83</v>
      </c>
      <c r="Q977">
        <v>5.98</v>
      </c>
      <c r="R977">
        <v>-11.6</v>
      </c>
      <c r="S977">
        <v>-1.28</v>
      </c>
      <c r="T977">
        <v>1.33</v>
      </c>
      <c r="U977">
        <v>2.23</v>
      </c>
      <c r="V977">
        <v>1.95</v>
      </c>
      <c r="W977">
        <v>4.63</v>
      </c>
      <c r="X977">
        <v>1.42</v>
      </c>
      <c r="Y977">
        <v>1.24</v>
      </c>
      <c r="Z977">
        <v>1.35</v>
      </c>
      <c r="AA977">
        <v>1.46</v>
      </c>
      <c r="AB977">
        <v>2.48</v>
      </c>
      <c r="AC977">
        <v>1.29</v>
      </c>
      <c r="AD977">
        <v>8.17</v>
      </c>
      <c r="AE977">
        <v>1.03</v>
      </c>
      <c r="AF977">
        <v>2.63</v>
      </c>
      <c r="AG977" t="str">
        <f>HYPERLINK("https://finance.naver.com/item/fchart.naver?code=053270", "구영테크 차트보기")</f>
        <v>구영테크 차트보기</v>
      </c>
    </row>
    <row r="978" spans="1:33" x14ac:dyDescent="0.3">
      <c r="A978" t="s">
        <v>3939</v>
      </c>
      <c r="B978" t="s">
        <v>34</v>
      </c>
      <c r="C978" t="s">
        <v>3940</v>
      </c>
      <c r="D978">
        <v>101845.9</v>
      </c>
      <c r="E978" t="s">
        <v>3941</v>
      </c>
      <c r="F978">
        <v>16.399999999999999</v>
      </c>
      <c r="G978">
        <v>4.5300002098083496</v>
      </c>
      <c r="H978">
        <v>3036</v>
      </c>
      <c r="I978">
        <v>10.039999961853029</v>
      </c>
      <c r="J978" t="s">
        <v>3942</v>
      </c>
      <c r="K978">
        <v>60000</v>
      </c>
      <c r="L978">
        <v>49800</v>
      </c>
      <c r="M978">
        <v>-17</v>
      </c>
      <c r="N978">
        <v>3.75</v>
      </c>
      <c r="O978">
        <v>-1.1000000000000001</v>
      </c>
      <c r="P978">
        <v>1.92</v>
      </c>
      <c r="Q978">
        <v>-1.89</v>
      </c>
      <c r="R978">
        <v>-13.18</v>
      </c>
      <c r="S978">
        <v>2.63</v>
      </c>
      <c r="T978">
        <v>3.54</v>
      </c>
      <c r="U978">
        <v>1.71</v>
      </c>
      <c r="V978">
        <v>1.35</v>
      </c>
      <c r="W978">
        <v>2.96</v>
      </c>
      <c r="X978">
        <v>1.26</v>
      </c>
      <c r="Y978">
        <v>1.68</v>
      </c>
      <c r="Z978">
        <v>1.06</v>
      </c>
      <c r="AA978">
        <v>0.64</v>
      </c>
      <c r="AB978">
        <v>1.42</v>
      </c>
      <c r="AC978">
        <v>0.64</v>
      </c>
      <c r="AD978">
        <v>10.46</v>
      </c>
      <c r="AE978">
        <v>1.57</v>
      </c>
      <c r="AF978">
        <v>2.6316666666666668</v>
      </c>
      <c r="AG978" t="str">
        <f>HYPERLINK("https://finance.naver.com/item/fchart.naver?code=039130", "하나투어 차트보기")</f>
        <v>하나투어 차트보기</v>
      </c>
    </row>
    <row r="979" spans="1:33" x14ac:dyDescent="0.3">
      <c r="A979" t="s">
        <v>3943</v>
      </c>
      <c r="B979" t="s">
        <v>55</v>
      </c>
      <c r="C979" t="s">
        <v>3944</v>
      </c>
      <c r="D979">
        <v>103514.05</v>
      </c>
      <c r="E979" t="s">
        <v>3945</v>
      </c>
      <c r="F979">
        <v>66.959999999999994</v>
      </c>
      <c r="G979">
        <v>7.5300002098083496</v>
      </c>
      <c r="H979">
        <v>168</v>
      </c>
      <c r="I979">
        <v>0</v>
      </c>
      <c r="J979" t="s">
        <v>3946</v>
      </c>
      <c r="K979">
        <v>17380</v>
      </c>
      <c r="L979">
        <v>11250</v>
      </c>
      <c r="M979">
        <v>-35.270000000000003</v>
      </c>
      <c r="N979">
        <v>-10.220000000000001</v>
      </c>
      <c r="O979">
        <v>0.56000000000000005</v>
      </c>
      <c r="P979">
        <v>-0.55000000000000004</v>
      </c>
      <c r="Q979">
        <v>-7.31</v>
      </c>
      <c r="R979">
        <v>-18.98</v>
      </c>
      <c r="S979">
        <v>10.75</v>
      </c>
      <c r="T979">
        <v>2.64</v>
      </c>
      <c r="U979">
        <v>5.48</v>
      </c>
      <c r="V979">
        <v>3.82</v>
      </c>
      <c r="W979">
        <v>4.68</v>
      </c>
      <c r="X979">
        <v>2.37</v>
      </c>
      <c r="Y979">
        <v>5.08</v>
      </c>
      <c r="Z979">
        <v>3.87</v>
      </c>
      <c r="AA979">
        <v>0.1</v>
      </c>
      <c r="AB979">
        <v>0.14000000000000001</v>
      </c>
      <c r="AC979">
        <v>1.56</v>
      </c>
      <c r="AD979">
        <v>8.01</v>
      </c>
      <c r="AE979">
        <v>2.12</v>
      </c>
      <c r="AF979">
        <v>2.6333333333333329</v>
      </c>
      <c r="AG979" t="str">
        <f>HYPERLINK("https://finance.naver.com/item/fchart.naver?code=114190", "강원에너지 차트보기")</f>
        <v>강원에너지 차트보기</v>
      </c>
    </row>
    <row r="980" spans="1:33" x14ac:dyDescent="0.3">
      <c r="A980" t="s">
        <v>3947</v>
      </c>
      <c r="B980" t="s">
        <v>55</v>
      </c>
      <c r="C980" t="s">
        <v>3948</v>
      </c>
      <c r="D980">
        <v>75874.38</v>
      </c>
      <c r="E980" t="s">
        <v>3949</v>
      </c>
      <c r="F980">
        <v>14.65</v>
      </c>
      <c r="G980">
        <v>2.2400000095367432</v>
      </c>
      <c r="H980">
        <v>3096</v>
      </c>
      <c r="I980">
        <v>0.87999999523162842</v>
      </c>
      <c r="J980" t="s">
        <v>3950</v>
      </c>
      <c r="K980">
        <v>94400</v>
      </c>
      <c r="L980">
        <v>45350</v>
      </c>
      <c r="M980">
        <v>-51.96</v>
      </c>
      <c r="N980">
        <v>-6.69</v>
      </c>
      <c r="O980">
        <v>-9.77</v>
      </c>
      <c r="P980">
        <v>-10.71</v>
      </c>
      <c r="Q980">
        <v>-8.8800000000000008</v>
      </c>
      <c r="R980">
        <v>-5.78</v>
      </c>
      <c r="S980">
        <v>-4.5199999999999996</v>
      </c>
      <c r="T980">
        <v>2.3199999999999998</v>
      </c>
      <c r="U980">
        <v>2.84</v>
      </c>
      <c r="V980">
        <v>2.85</v>
      </c>
      <c r="W980">
        <v>3.76</v>
      </c>
      <c r="X980">
        <v>3.11</v>
      </c>
      <c r="Y980">
        <v>2.99</v>
      </c>
      <c r="Z980">
        <v>2.88</v>
      </c>
      <c r="AA980">
        <v>3.44</v>
      </c>
      <c r="AB980">
        <v>3.76</v>
      </c>
      <c r="AC980">
        <v>2.36</v>
      </c>
      <c r="AD980">
        <v>1.86</v>
      </c>
      <c r="AE980">
        <v>1.51</v>
      </c>
      <c r="AF980">
        <v>2.6349999999999998</v>
      </c>
      <c r="AG980" t="str">
        <f>HYPERLINK("https://finance.naver.com/item/fchart.naver?code=183300", "코미코 차트보기")</f>
        <v>코미코 차트보기</v>
      </c>
    </row>
    <row r="981" spans="1:33" x14ac:dyDescent="0.3">
      <c r="A981" t="s">
        <v>3951</v>
      </c>
      <c r="B981" t="s">
        <v>34</v>
      </c>
      <c r="C981" t="s">
        <v>3952</v>
      </c>
      <c r="D981">
        <v>1159.67</v>
      </c>
      <c r="E981" t="s">
        <v>3953</v>
      </c>
      <c r="F981">
        <v>0</v>
      </c>
      <c r="G981">
        <v>0</v>
      </c>
      <c r="H981">
        <v>0</v>
      </c>
      <c r="I981">
        <v>0</v>
      </c>
      <c r="J981" t="s">
        <v>3954</v>
      </c>
      <c r="K981">
        <v>7000</v>
      </c>
      <c r="L981">
        <v>5000</v>
      </c>
      <c r="M981">
        <v>-28.57</v>
      </c>
      <c r="N981">
        <v>0</v>
      </c>
      <c r="O981">
        <v>-9.9600000000000009</v>
      </c>
      <c r="P981">
        <v>-3.79</v>
      </c>
      <c r="Q981">
        <v>-3</v>
      </c>
      <c r="R981">
        <v>-2.88</v>
      </c>
      <c r="S981">
        <v>-4.6500000000000004</v>
      </c>
      <c r="T981">
        <v>0.72</v>
      </c>
      <c r="U981">
        <v>1.19</v>
      </c>
      <c r="V981">
        <v>1.57</v>
      </c>
      <c r="W981">
        <v>2.4700000000000002</v>
      </c>
      <c r="X981">
        <v>1.95</v>
      </c>
      <c r="Y981">
        <v>1.98</v>
      </c>
      <c r="Z981">
        <v>0</v>
      </c>
      <c r="AA981">
        <v>8.3699999999999992</v>
      </c>
      <c r="AB981">
        <v>2.41</v>
      </c>
      <c r="AC981">
        <v>1.21</v>
      </c>
      <c r="AD981">
        <v>1.48</v>
      </c>
      <c r="AE981">
        <v>2.35</v>
      </c>
      <c r="AF981">
        <v>2.6366666666666658</v>
      </c>
      <c r="AG981" t="str">
        <f>HYPERLINK("https://finance.naver.com/item/fchart.naver?code=000545", "흥국화재우 차트보기")</f>
        <v>흥국화재우 차트보기</v>
      </c>
    </row>
    <row r="982" spans="1:33" x14ac:dyDescent="0.3">
      <c r="A982" t="s">
        <v>3955</v>
      </c>
      <c r="B982" t="s">
        <v>55</v>
      </c>
      <c r="C982" t="s">
        <v>3956</v>
      </c>
      <c r="D982">
        <v>173397.67</v>
      </c>
      <c r="E982" t="s">
        <v>3957</v>
      </c>
      <c r="F982">
        <v>0</v>
      </c>
      <c r="G982">
        <v>1.080000042915344</v>
      </c>
      <c r="H982">
        <v>0</v>
      </c>
      <c r="I982">
        <v>0</v>
      </c>
      <c r="J982" t="s">
        <v>3958</v>
      </c>
      <c r="K982">
        <v>4200</v>
      </c>
      <c r="L982">
        <v>3380</v>
      </c>
      <c r="M982">
        <v>-19.52</v>
      </c>
      <c r="N982">
        <v>-7.02</v>
      </c>
      <c r="O982">
        <v>7.03</v>
      </c>
      <c r="P982">
        <v>-0.56999999999999995</v>
      </c>
      <c r="Q982">
        <v>-10.75</v>
      </c>
      <c r="R982">
        <v>14.86</v>
      </c>
      <c r="S982">
        <v>-10.7</v>
      </c>
      <c r="T982">
        <v>3.39</v>
      </c>
      <c r="U982">
        <v>3.32</v>
      </c>
      <c r="V982">
        <v>1.48</v>
      </c>
      <c r="W982">
        <v>3.68</v>
      </c>
      <c r="X982">
        <v>3.98</v>
      </c>
      <c r="Y982">
        <v>2.33</v>
      </c>
      <c r="Z982">
        <v>2.0699999999999998</v>
      </c>
      <c r="AA982">
        <v>2.12</v>
      </c>
      <c r="AB982">
        <v>0.39</v>
      </c>
      <c r="AC982">
        <v>2.92</v>
      </c>
      <c r="AD982">
        <v>3.73</v>
      </c>
      <c r="AE982">
        <v>4.59</v>
      </c>
      <c r="AF982">
        <v>2.6366666666666658</v>
      </c>
      <c r="AG982" t="str">
        <f>HYPERLINK("https://finance.naver.com/item/fchart.naver?code=084990", "헬릭스미스 차트보기")</f>
        <v>헬릭스미스 차트보기</v>
      </c>
    </row>
    <row r="983" spans="1:33" x14ac:dyDescent="0.3">
      <c r="A983" t="s">
        <v>3959</v>
      </c>
      <c r="B983" t="s">
        <v>34</v>
      </c>
      <c r="C983" t="s">
        <v>3960</v>
      </c>
      <c r="D983">
        <v>22118</v>
      </c>
      <c r="E983" t="s">
        <v>3961</v>
      </c>
      <c r="F983">
        <v>0.73</v>
      </c>
      <c r="G983">
        <v>0.15999999642372131</v>
      </c>
      <c r="H983">
        <v>4664</v>
      </c>
      <c r="I983">
        <v>0</v>
      </c>
      <c r="J983" t="s">
        <v>3962</v>
      </c>
      <c r="K983">
        <v>4530</v>
      </c>
      <c r="L983">
        <v>3385</v>
      </c>
      <c r="M983">
        <v>-25.28</v>
      </c>
      <c r="N983">
        <v>-2.0299999999999998</v>
      </c>
      <c r="O983">
        <v>-5.43</v>
      </c>
      <c r="P983">
        <v>-4.05</v>
      </c>
      <c r="Q983">
        <v>-11.69</v>
      </c>
      <c r="R983">
        <v>6.85</v>
      </c>
      <c r="S983">
        <v>5.84</v>
      </c>
      <c r="T983">
        <v>0.86</v>
      </c>
      <c r="U983">
        <v>1.46</v>
      </c>
      <c r="V983">
        <v>2.06</v>
      </c>
      <c r="W983">
        <v>3.49</v>
      </c>
      <c r="X983">
        <v>3.36</v>
      </c>
      <c r="Y983">
        <v>2.4500000000000002</v>
      </c>
      <c r="Z983">
        <v>2.36</v>
      </c>
      <c r="AA983">
        <v>3.72</v>
      </c>
      <c r="AB983">
        <v>1.97</v>
      </c>
      <c r="AC983">
        <v>3.35</v>
      </c>
      <c r="AD983">
        <v>2.04</v>
      </c>
      <c r="AE983">
        <v>2.38</v>
      </c>
      <c r="AF983">
        <v>2.6366666666666672</v>
      </c>
      <c r="AG983" t="str">
        <f>HYPERLINK("https://finance.naver.com/item/fchart.naver?code=000540", "흥국화재 차트보기")</f>
        <v>흥국화재 차트보기</v>
      </c>
    </row>
    <row r="984" spans="1:33" x14ac:dyDescent="0.3">
      <c r="A984" t="s">
        <v>3963</v>
      </c>
      <c r="B984" t="s">
        <v>55</v>
      </c>
      <c r="C984" t="s">
        <v>3964</v>
      </c>
      <c r="D984">
        <v>1530924.71</v>
      </c>
      <c r="E984" t="s">
        <v>3965</v>
      </c>
      <c r="F984">
        <v>0</v>
      </c>
      <c r="G984">
        <v>1.389999985694885</v>
      </c>
      <c r="H984">
        <v>0</v>
      </c>
      <c r="I984">
        <v>0</v>
      </c>
      <c r="J984" t="s">
        <v>3966</v>
      </c>
      <c r="K984">
        <v>1814</v>
      </c>
      <c r="L984">
        <v>2165</v>
      </c>
      <c r="M984">
        <v>19.350000000000001</v>
      </c>
      <c r="N984">
        <v>-2.7</v>
      </c>
      <c r="O984">
        <v>15.4</v>
      </c>
      <c r="P984">
        <v>-2.66</v>
      </c>
      <c r="Q984">
        <v>-33.020000000000003</v>
      </c>
      <c r="R984">
        <v>27.18</v>
      </c>
      <c r="S984">
        <v>0.43</v>
      </c>
      <c r="T984">
        <v>3.56</v>
      </c>
      <c r="U984">
        <v>7.45</v>
      </c>
      <c r="V984">
        <v>2.81</v>
      </c>
      <c r="W984">
        <v>4.41</v>
      </c>
      <c r="X984">
        <v>6.07</v>
      </c>
      <c r="Y984">
        <v>5.21</v>
      </c>
      <c r="Z984">
        <v>0.76</v>
      </c>
      <c r="AA984">
        <v>2.0699999999999998</v>
      </c>
      <c r="AB984">
        <v>0.95</v>
      </c>
      <c r="AC984">
        <v>7.49</v>
      </c>
      <c r="AD984">
        <v>4.4800000000000004</v>
      </c>
      <c r="AE984">
        <v>0.08</v>
      </c>
      <c r="AF984">
        <v>2.6383333333333332</v>
      </c>
      <c r="AG984" t="str">
        <f>HYPERLINK("https://finance.naver.com/item/fchart.naver?code=175250", "아이큐어 차트보기")</f>
        <v>아이큐어 차트보기</v>
      </c>
    </row>
    <row r="985" spans="1:33" x14ac:dyDescent="0.3">
      <c r="A985" t="s">
        <v>3967</v>
      </c>
      <c r="B985" t="s">
        <v>55</v>
      </c>
      <c r="C985" t="s">
        <v>3968</v>
      </c>
      <c r="D985">
        <v>146393.38</v>
      </c>
      <c r="E985" t="s">
        <v>3969</v>
      </c>
      <c r="F985">
        <v>15.98</v>
      </c>
      <c r="G985">
        <v>1.4099999666213989</v>
      </c>
      <c r="H985">
        <v>1073</v>
      </c>
      <c r="I985">
        <v>1.049999952316284</v>
      </c>
      <c r="J985" t="s">
        <v>3970</v>
      </c>
      <c r="K985">
        <v>17310</v>
      </c>
      <c r="L985">
        <v>17150</v>
      </c>
      <c r="M985">
        <v>-0.92</v>
      </c>
      <c r="N985">
        <v>-5.87</v>
      </c>
      <c r="O985">
        <v>4.47</v>
      </c>
      <c r="P985">
        <v>-5.62</v>
      </c>
      <c r="Q985">
        <v>3.59</v>
      </c>
      <c r="R985">
        <v>-9.0299999999999994</v>
      </c>
      <c r="S985">
        <v>-3.42</v>
      </c>
      <c r="T985">
        <v>1.59</v>
      </c>
      <c r="U985">
        <v>1.65</v>
      </c>
      <c r="V985">
        <v>1.85</v>
      </c>
      <c r="W985">
        <v>2.48</v>
      </c>
      <c r="X985">
        <v>2.57</v>
      </c>
      <c r="Y985">
        <v>2.39</v>
      </c>
      <c r="Z985">
        <v>3.69</v>
      </c>
      <c r="AA985">
        <v>2.71</v>
      </c>
      <c r="AB985">
        <v>3.04</v>
      </c>
      <c r="AC985">
        <v>1.45</v>
      </c>
      <c r="AD985">
        <v>3.51</v>
      </c>
      <c r="AE985">
        <v>1.43</v>
      </c>
      <c r="AF985">
        <v>2.6383333333333332</v>
      </c>
      <c r="AG985" t="str">
        <f>HYPERLINK("https://finance.naver.com/item/fchart.naver?code=086450", "동국제약 차트보기")</f>
        <v>동국제약 차트보기</v>
      </c>
    </row>
    <row r="986" spans="1:33" x14ac:dyDescent="0.3">
      <c r="A986" t="s">
        <v>3971</v>
      </c>
      <c r="B986" t="s">
        <v>55</v>
      </c>
      <c r="C986" t="s">
        <v>3972</v>
      </c>
      <c r="D986">
        <v>62939.33</v>
      </c>
      <c r="E986" t="s">
        <v>3973</v>
      </c>
      <c r="F986">
        <v>0</v>
      </c>
      <c r="G986">
        <v>1.200000047683716</v>
      </c>
      <c r="H986">
        <v>0</v>
      </c>
      <c r="I986">
        <v>0</v>
      </c>
      <c r="J986" t="s">
        <v>3974</v>
      </c>
      <c r="K986">
        <v>15840</v>
      </c>
      <c r="L986">
        <v>11340</v>
      </c>
      <c r="M986">
        <v>-28.41</v>
      </c>
      <c r="N986">
        <v>0.89</v>
      </c>
      <c r="O986">
        <v>15.5</v>
      </c>
      <c r="P986">
        <v>-4.72</v>
      </c>
      <c r="Q986">
        <v>-10.119999999999999</v>
      </c>
      <c r="R986">
        <v>-16.23</v>
      </c>
      <c r="S986">
        <v>-0.78</v>
      </c>
      <c r="T986">
        <v>1.79</v>
      </c>
      <c r="U986">
        <v>2.86</v>
      </c>
      <c r="V986">
        <v>3.18</v>
      </c>
      <c r="W986">
        <v>4.6900000000000004</v>
      </c>
      <c r="X986">
        <v>2.72</v>
      </c>
      <c r="Y986">
        <v>2.57</v>
      </c>
      <c r="Z986">
        <v>0.5</v>
      </c>
      <c r="AA986">
        <v>5.42</v>
      </c>
      <c r="AB986">
        <v>1.48</v>
      </c>
      <c r="AC986">
        <v>2.16</v>
      </c>
      <c r="AD986">
        <v>5.97</v>
      </c>
      <c r="AE986">
        <v>0.3</v>
      </c>
      <c r="AF986">
        <v>2.6383333333333341</v>
      </c>
      <c r="AG986" t="str">
        <f>HYPERLINK("https://finance.naver.com/item/fchart.naver?code=170920", "엘티씨 차트보기")</f>
        <v>엘티씨 차트보기</v>
      </c>
    </row>
    <row r="987" spans="1:33" x14ac:dyDescent="0.3">
      <c r="A987" t="s">
        <v>3975</v>
      </c>
      <c r="B987" t="s">
        <v>34</v>
      </c>
      <c r="C987" t="s">
        <v>3976</v>
      </c>
      <c r="D987">
        <v>167484.81</v>
      </c>
      <c r="E987" t="s">
        <v>3977</v>
      </c>
      <c r="F987">
        <v>20.14</v>
      </c>
      <c r="G987">
        <v>0.73000001907348633</v>
      </c>
      <c r="H987">
        <v>3743</v>
      </c>
      <c r="I987">
        <v>4.9099998474121094</v>
      </c>
      <c r="J987" t="s">
        <v>3978</v>
      </c>
      <c r="K987">
        <v>68500</v>
      </c>
      <c r="L987">
        <v>75400</v>
      </c>
      <c r="M987">
        <v>10.07</v>
      </c>
      <c r="N987">
        <v>-0.79</v>
      </c>
      <c r="O987">
        <v>2.7</v>
      </c>
      <c r="P987">
        <v>-2.67</v>
      </c>
      <c r="Q987">
        <v>-3.11</v>
      </c>
      <c r="R987">
        <v>13.53</v>
      </c>
      <c r="S987">
        <v>6.58</v>
      </c>
      <c r="T987">
        <v>3.49</v>
      </c>
      <c r="U987">
        <v>1.51</v>
      </c>
      <c r="V987">
        <v>2.64</v>
      </c>
      <c r="W987">
        <v>1.95</v>
      </c>
      <c r="X987">
        <v>1.96</v>
      </c>
      <c r="Y987">
        <v>1.52</v>
      </c>
      <c r="Z987">
        <v>0.23</v>
      </c>
      <c r="AA987">
        <v>1.79</v>
      </c>
      <c r="AB987">
        <v>1.01</v>
      </c>
      <c r="AC987">
        <v>1.59</v>
      </c>
      <c r="AD987">
        <v>6.9</v>
      </c>
      <c r="AE987">
        <v>4.33</v>
      </c>
      <c r="AF987">
        <v>2.6416666666666671</v>
      </c>
      <c r="AG987" t="str">
        <f>HYPERLINK("https://finance.naver.com/item/fchart.naver?code=267250", "HD현대 차트보기")</f>
        <v>HD현대 차트보기</v>
      </c>
    </row>
    <row r="988" spans="1:33" x14ac:dyDescent="0.3">
      <c r="A988" t="s">
        <v>3979</v>
      </c>
      <c r="B988" t="s">
        <v>55</v>
      </c>
      <c r="C988" t="s">
        <v>3980</v>
      </c>
      <c r="D988">
        <v>4732.29</v>
      </c>
      <c r="E988" t="s">
        <v>3981</v>
      </c>
      <c r="F988">
        <v>0</v>
      </c>
      <c r="G988">
        <v>0</v>
      </c>
      <c r="H988">
        <v>0</v>
      </c>
      <c r="I988">
        <v>0</v>
      </c>
      <c r="J988" t="s">
        <v>3982</v>
      </c>
      <c r="K988">
        <v>2190</v>
      </c>
      <c r="L988">
        <v>2150</v>
      </c>
      <c r="M988">
        <v>-1.83</v>
      </c>
      <c r="N988">
        <v>-1.38</v>
      </c>
      <c r="O988">
        <v>1.1599999999999999</v>
      </c>
      <c r="P988">
        <v>-1.38</v>
      </c>
      <c r="Q988">
        <v>-5.49</v>
      </c>
      <c r="R988">
        <v>3.19</v>
      </c>
      <c r="S988">
        <v>-0.23</v>
      </c>
      <c r="T988">
        <v>0.79</v>
      </c>
      <c r="U988">
        <v>0.61</v>
      </c>
      <c r="V988">
        <v>0.56000000000000005</v>
      </c>
      <c r="W988">
        <v>1.06</v>
      </c>
      <c r="X988">
        <v>0.78</v>
      </c>
      <c r="Y988">
        <v>0.48</v>
      </c>
      <c r="Z988">
        <v>1.75</v>
      </c>
      <c r="AA988">
        <v>1.9</v>
      </c>
      <c r="AB988">
        <v>2.46</v>
      </c>
      <c r="AC988">
        <v>5.18</v>
      </c>
      <c r="AD988">
        <v>4.09</v>
      </c>
      <c r="AE988">
        <v>0.48</v>
      </c>
      <c r="AF988">
        <v>2.6433333333333331</v>
      </c>
      <c r="AG988" t="str">
        <f>HYPERLINK("https://finance.naver.com/item/fchart.naver?code=474930", "신한제13호스팩 차트보기")</f>
        <v>신한제13호스팩 차트보기</v>
      </c>
    </row>
    <row r="989" spans="1:33" x14ac:dyDescent="0.3">
      <c r="A989" t="s">
        <v>3983</v>
      </c>
      <c r="B989" t="s">
        <v>34</v>
      </c>
      <c r="C989" t="s">
        <v>3984</v>
      </c>
      <c r="D989">
        <v>64200.1</v>
      </c>
      <c r="E989" t="s">
        <v>3985</v>
      </c>
      <c r="F989">
        <v>3.35</v>
      </c>
      <c r="G989">
        <v>0.52999997138977051</v>
      </c>
      <c r="H989">
        <v>672</v>
      </c>
      <c r="I989">
        <v>4.440000057220459</v>
      </c>
      <c r="J989" t="s">
        <v>3986</v>
      </c>
      <c r="K989">
        <v>2335</v>
      </c>
      <c r="L989">
        <v>2250</v>
      </c>
      <c r="M989">
        <v>-3.64</v>
      </c>
      <c r="N989">
        <v>-2.39</v>
      </c>
      <c r="O989">
        <v>-3.62</v>
      </c>
      <c r="P989">
        <v>1.45</v>
      </c>
      <c r="Q989">
        <v>-16.899999999999999</v>
      </c>
      <c r="R989">
        <v>-6.81</v>
      </c>
      <c r="S989">
        <v>11.96</v>
      </c>
      <c r="T989">
        <v>1.22</v>
      </c>
      <c r="U989">
        <v>1.29</v>
      </c>
      <c r="V989">
        <v>1.75</v>
      </c>
      <c r="W989">
        <v>3.67</v>
      </c>
      <c r="X989">
        <v>2.61</v>
      </c>
      <c r="Y989">
        <v>3.89</v>
      </c>
      <c r="Z989">
        <v>1.96</v>
      </c>
      <c r="AA989">
        <v>2.81</v>
      </c>
      <c r="AB989">
        <v>0.83</v>
      </c>
      <c r="AC989">
        <v>4.5999999999999996</v>
      </c>
      <c r="AD989">
        <v>2.61</v>
      </c>
      <c r="AE989">
        <v>3.07</v>
      </c>
      <c r="AF989">
        <v>2.6466666666666669</v>
      </c>
      <c r="AG989" t="str">
        <f>HYPERLINK("https://finance.naver.com/item/fchart.naver?code=009180", "한솔로지스틱스 차트보기")</f>
        <v>한솔로지스틱스 차트보기</v>
      </c>
    </row>
    <row r="990" spans="1:33" x14ac:dyDescent="0.3">
      <c r="A990" t="s">
        <v>3987</v>
      </c>
      <c r="B990" t="s">
        <v>34</v>
      </c>
      <c r="C990" t="s">
        <v>3988</v>
      </c>
      <c r="D990">
        <v>183426.62</v>
      </c>
      <c r="E990" t="s">
        <v>3989</v>
      </c>
      <c r="F990">
        <v>11.91</v>
      </c>
      <c r="G990">
        <v>0.8399999737739563</v>
      </c>
      <c r="H990">
        <v>2212</v>
      </c>
      <c r="I990">
        <v>2.660000085830688</v>
      </c>
      <c r="J990" t="s">
        <v>3990</v>
      </c>
      <c r="K990">
        <v>16400</v>
      </c>
      <c r="L990">
        <v>26350</v>
      </c>
      <c r="M990">
        <v>60.67</v>
      </c>
      <c r="N990">
        <v>7.33</v>
      </c>
      <c r="O990">
        <v>6.81</v>
      </c>
      <c r="P990">
        <v>16.39</v>
      </c>
      <c r="Q990">
        <v>-3.44</v>
      </c>
      <c r="R990">
        <v>-1.43</v>
      </c>
      <c r="S990">
        <v>13.9</v>
      </c>
      <c r="T990">
        <v>2.69</v>
      </c>
      <c r="U990">
        <v>2.84</v>
      </c>
      <c r="V990">
        <v>5.27</v>
      </c>
      <c r="W990">
        <v>4.38</v>
      </c>
      <c r="X990">
        <v>2.81</v>
      </c>
      <c r="Y990">
        <v>2.19</v>
      </c>
      <c r="Z990">
        <v>2.72</v>
      </c>
      <c r="AA990">
        <v>2.4</v>
      </c>
      <c r="AB990">
        <v>3.11</v>
      </c>
      <c r="AC990">
        <v>0.79</v>
      </c>
      <c r="AD990">
        <v>0.51</v>
      </c>
      <c r="AE990">
        <v>6.35</v>
      </c>
      <c r="AF990">
        <v>2.6466666666666669</v>
      </c>
      <c r="AG990" t="str">
        <f>HYPERLINK("https://finance.naver.com/item/fchart.naver?code=003570", "SNT다이내믹스 차트보기")</f>
        <v>SNT다이내믹스 차트보기</v>
      </c>
    </row>
    <row r="991" spans="1:33" x14ac:dyDescent="0.3">
      <c r="A991" t="s">
        <v>3991</v>
      </c>
      <c r="B991" t="s">
        <v>55</v>
      </c>
      <c r="C991" t="s">
        <v>3992</v>
      </c>
      <c r="D991">
        <v>1232361.71</v>
      </c>
      <c r="E991" t="s">
        <v>3993</v>
      </c>
      <c r="F991">
        <v>199.23</v>
      </c>
      <c r="G991">
        <v>2.8599998950958252</v>
      </c>
      <c r="H991">
        <v>78</v>
      </c>
      <c r="I991">
        <v>0.31999999284744263</v>
      </c>
      <c r="J991" t="s">
        <v>3994</v>
      </c>
      <c r="K991">
        <v>12390</v>
      </c>
      <c r="L991">
        <v>15540</v>
      </c>
      <c r="M991">
        <v>25.42</v>
      </c>
      <c r="N991">
        <v>-8.75</v>
      </c>
      <c r="O991">
        <v>-13.29</v>
      </c>
      <c r="P991">
        <v>19.149999999999999</v>
      </c>
      <c r="Q991">
        <v>-15.59</v>
      </c>
      <c r="R991">
        <v>15.92</v>
      </c>
      <c r="S991">
        <v>-6.22</v>
      </c>
      <c r="T991">
        <v>3.22</v>
      </c>
      <c r="U991">
        <v>5.53</v>
      </c>
      <c r="V991">
        <v>4.45</v>
      </c>
      <c r="W991">
        <v>4.4800000000000004</v>
      </c>
      <c r="X991">
        <v>6.88</v>
      </c>
      <c r="Y991">
        <v>9.15</v>
      </c>
      <c r="Z991">
        <v>2.72</v>
      </c>
      <c r="AA991">
        <v>2.4</v>
      </c>
      <c r="AB991">
        <v>4.3</v>
      </c>
      <c r="AC991">
        <v>3.48</v>
      </c>
      <c r="AD991">
        <v>2.31</v>
      </c>
      <c r="AE991">
        <v>0.68</v>
      </c>
      <c r="AF991">
        <v>2.648333333333333</v>
      </c>
      <c r="AG991" t="str">
        <f>HYPERLINK("https://finance.naver.com/item/fchart.naver?code=024060", "흥구석유 차트보기")</f>
        <v>흥구석유 차트보기</v>
      </c>
    </row>
    <row r="992" spans="1:33" x14ac:dyDescent="0.3">
      <c r="A992" t="s">
        <v>3995</v>
      </c>
      <c r="B992" t="s">
        <v>34</v>
      </c>
      <c r="C992" t="s">
        <v>3996</v>
      </c>
      <c r="D992">
        <v>28799.05</v>
      </c>
      <c r="E992" t="s">
        <v>3997</v>
      </c>
      <c r="F992">
        <v>6.3</v>
      </c>
      <c r="G992">
        <v>0.31999999284744263</v>
      </c>
      <c r="H992">
        <v>843</v>
      </c>
      <c r="I992">
        <v>4.7100000381469727</v>
      </c>
      <c r="J992" t="s">
        <v>3998</v>
      </c>
      <c r="K992">
        <v>5020</v>
      </c>
      <c r="L992">
        <v>5310</v>
      </c>
      <c r="M992">
        <v>5.78</v>
      </c>
      <c r="N992">
        <v>-0.75</v>
      </c>
      <c r="O992">
        <v>-1.47</v>
      </c>
      <c r="P992">
        <v>7.24</v>
      </c>
      <c r="Q992">
        <v>-0.57999999999999996</v>
      </c>
      <c r="R992">
        <v>3.33</v>
      </c>
      <c r="S992">
        <v>-1.51</v>
      </c>
      <c r="T992">
        <v>0.95</v>
      </c>
      <c r="U992">
        <v>1.1599999999999999</v>
      </c>
      <c r="V992">
        <v>1.04</v>
      </c>
      <c r="W992">
        <v>1.57</v>
      </c>
      <c r="X992">
        <v>0.94</v>
      </c>
      <c r="Y992">
        <v>0.51</v>
      </c>
      <c r="Z992">
        <v>0.79</v>
      </c>
      <c r="AA992">
        <v>1.27</v>
      </c>
      <c r="AB992">
        <v>6.96</v>
      </c>
      <c r="AC992">
        <v>0.37</v>
      </c>
      <c r="AD992">
        <v>3.54</v>
      </c>
      <c r="AE992">
        <v>2.96</v>
      </c>
      <c r="AF992">
        <v>2.648333333333333</v>
      </c>
      <c r="AG992" t="str">
        <f>HYPERLINK("https://finance.naver.com/item/fchart.naver?code=030610", "교보증권 차트보기")</f>
        <v>교보증권 차트보기</v>
      </c>
    </row>
    <row r="993" spans="1:33" x14ac:dyDescent="0.3">
      <c r="A993" t="s">
        <v>3999</v>
      </c>
      <c r="B993" t="s">
        <v>55</v>
      </c>
      <c r="C993" t="s">
        <v>4000</v>
      </c>
      <c r="D993">
        <v>226139.43</v>
      </c>
      <c r="E993" t="s">
        <v>4001</v>
      </c>
      <c r="F993">
        <v>17.84</v>
      </c>
      <c r="G993">
        <v>0.61000001430511475</v>
      </c>
      <c r="H993">
        <v>204</v>
      </c>
      <c r="I993">
        <v>3.5699999332427979</v>
      </c>
      <c r="J993" t="s">
        <v>4002</v>
      </c>
      <c r="K993">
        <v>5150</v>
      </c>
      <c r="L993">
        <v>3640</v>
      </c>
      <c r="M993">
        <v>-29.32</v>
      </c>
      <c r="N993">
        <v>-3.7</v>
      </c>
      <c r="O993">
        <v>-4.76</v>
      </c>
      <c r="P993">
        <v>-9.26</v>
      </c>
      <c r="Q993">
        <v>-9.27</v>
      </c>
      <c r="R993">
        <v>-8.64</v>
      </c>
      <c r="S993">
        <v>-1.74</v>
      </c>
      <c r="T993">
        <v>1.78</v>
      </c>
      <c r="U993">
        <v>1.93</v>
      </c>
      <c r="V993">
        <v>3.15</v>
      </c>
      <c r="W993">
        <v>7.67</v>
      </c>
      <c r="X993">
        <v>2.37</v>
      </c>
      <c r="Y993">
        <v>0.49</v>
      </c>
      <c r="Z993">
        <v>2.08</v>
      </c>
      <c r="AA993">
        <v>2.4700000000000002</v>
      </c>
      <c r="AB993">
        <v>2.94</v>
      </c>
      <c r="AC993">
        <v>1.21</v>
      </c>
      <c r="AD993">
        <v>3.65</v>
      </c>
      <c r="AE993">
        <v>3.55</v>
      </c>
      <c r="AF993">
        <v>2.65</v>
      </c>
      <c r="AG993" t="str">
        <f>HYPERLINK("https://finance.naver.com/item/fchart.naver?code=260660", "알리코제약 차트보기")</f>
        <v>알리코제약 차트보기</v>
      </c>
    </row>
    <row r="994" spans="1:33" x14ac:dyDescent="0.3">
      <c r="A994" t="s">
        <v>4003</v>
      </c>
      <c r="B994" t="s">
        <v>55</v>
      </c>
      <c r="C994" t="s">
        <v>4004</v>
      </c>
      <c r="D994">
        <v>178534.29</v>
      </c>
      <c r="E994" t="s">
        <v>4005</v>
      </c>
      <c r="F994">
        <v>11.46</v>
      </c>
      <c r="G994">
        <v>1.419999957084656</v>
      </c>
      <c r="H994">
        <v>261</v>
      </c>
      <c r="I994">
        <v>0</v>
      </c>
      <c r="J994" t="s">
        <v>4006</v>
      </c>
      <c r="K994">
        <v>2970</v>
      </c>
      <c r="L994">
        <v>2990</v>
      </c>
      <c r="M994">
        <v>0.67</v>
      </c>
      <c r="N994">
        <v>-6.12</v>
      </c>
      <c r="O994">
        <v>5.84</v>
      </c>
      <c r="P994">
        <v>0.17</v>
      </c>
      <c r="Q994">
        <v>-2.31</v>
      </c>
      <c r="R994">
        <v>-6.82</v>
      </c>
      <c r="S994">
        <v>13.94</v>
      </c>
      <c r="T994">
        <v>1.28</v>
      </c>
      <c r="U994">
        <v>1.73</v>
      </c>
      <c r="V994">
        <v>1.69</v>
      </c>
      <c r="W994">
        <v>1.7</v>
      </c>
      <c r="X994">
        <v>3.4</v>
      </c>
      <c r="Y994">
        <v>3.25</v>
      </c>
      <c r="Z994">
        <v>4.78</v>
      </c>
      <c r="AA994">
        <v>3.38</v>
      </c>
      <c r="AB994">
        <v>0.1</v>
      </c>
      <c r="AC994">
        <v>1.36</v>
      </c>
      <c r="AD994">
        <v>2.0099999999999998</v>
      </c>
      <c r="AE994">
        <v>4.29</v>
      </c>
      <c r="AF994">
        <v>2.6533333333333329</v>
      </c>
      <c r="AG994" t="str">
        <f>HYPERLINK("https://finance.naver.com/item/fchart.naver?code=066590", "우수AMS 차트보기")</f>
        <v>우수AMS 차트보기</v>
      </c>
    </row>
    <row r="995" spans="1:33" x14ac:dyDescent="0.3">
      <c r="A995" t="s">
        <v>4007</v>
      </c>
      <c r="B995" t="s">
        <v>34</v>
      </c>
      <c r="C995" t="s">
        <v>4008</v>
      </c>
      <c r="D995">
        <v>723907.05</v>
      </c>
      <c r="E995" t="s">
        <v>4009</v>
      </c>
      <c r="F995">
        <v>9.6199999999999992</v>
      </c>
      <c r="G995">
        <v>0.54000002145767212</v>
      </c>
      <c r="H995">
        <v>468</v>
      </c>
      <c r="I995">
        <v>2.779999971389771</v>
      </c>
      <c r="J995" t="s">
        <v>4010</v>
      </c>
      <c r="K995">
        <v>5830</v>
      </c>
      <c r="L995">
        <v>4500</v>
      </c>
      <c r="M995">
        <v>-22.81</v>
      </c>
      <c r="N995">
        <v>-2.81</v>
      </c>
      <c r="O995">
        <v>14.6</v>
      </c>
      <c r="P995">
        <v>-2.0099999999999998</v>
      </c>
      <c r="Q995">
        <v>-13.01</v>
      </c>
      <c r="R995">
        <v>-5.62</v>
      </c>
      <c r="S995">
        <v>-4.7300000000000004</v>
      </c>
      <c r="T995">
        <v>5.68</v>
      </c>
      <c r="U995">
        <v>3.3</v>
      </c>
      <c r="V995">
        <v>1.8</v>
      </c>
      <c r="W995">
        <v>3.89</v>
      </c>
      <c r="X995">
        <v>1.6</v>
      </c>
      <c r="Y995">
        <v>1.55</v>
      </c>
      <c r="Z995">
        <v>0.49</v>
      </c>
      <c r="AA995">
        <v>4.42</v>
      </c>
      <c r="AB995">
        <v>1.1200000000000001</v>
      </c>
      <c r="AC995">
        <v>3.34</v>
      </c>
      <c r="AD995">
        <v>3.51</v>
      </c>
      <c r="AE995">
        <v>3.05</v>
      </c>
      <c r="AF995">
        <v>2.6549999999999998</v>
      </c>
      <c r="AG995" t="str">
        <f>HYPERLINK("https://finance.naver.com/item/fchart.naver?code=000910", "유니온 차트보기")</f>
        <v>유니온 차트보기</v>
      </c>
    </row>
    <row r="996" spans="1:33" x14ac:dyDescent="0.3">
      <c r="A996" t="s">
        <v>4011</v>
      </c>
      <c r="B996" t="s">
        <v>34</v>
      </c>
      <c r="C996" t="s">
        <v>4012</v>
      </c>
      <c r="D996">
        <v>88259.24</v>
      </c>
      <c r="E996" t="s">
        <v>4013</v>
      </c>
      <c r="F996">
        <v>6.18</v>
      </c>
      <c r="G996">
        <v>0.47999998927116388</v>
      </c>
      <c r="H996">
        <v>771</v>
      </c>
      <c r="I996">
        <v>4.1999998092651367</v>
      </c>
      <c r="J996" t="s">
        <v>4014</v>
      </c>
      <c r="K996">
        <v>6910</v>
      </c>
      <c r="L996">
        <v>4765</v>
      </c>
      <c r="M996">
        <v>-31.04</v>
      </c>
      <c r="N996">
        <v>-2.76</v>
      </c>
      <c r="O996">
        <v>-1.47</v>
      </c>
      <c r="P996">
        <v>-4.88</v>
      </c>
      <c r="Q996">
        <v>-6.74</v>
      </c>
      <c r="R996">
        <v>-8.81</v>
      </c>
      <c r="S996">
        <v>-7.69</v>
      </c>
      <c r="T996">
        <v>2.73</v>
      </c>
      <c r="U996">
        <v>2.5299999999999998</v>
      </c>
      <c r="V996">
        <v>2.5299999999999998</v>
      </c>
      <c r="W996">
        <v>4.6100000000000003</v>
      </c>
      <c r="X996">
        <v>1.91</v>
      </c>
      <c r="Y996">
        <v>1.21</v>
      </c>
      <c r="Z996">
        <v>1.01</v>
      </c>
      <c r="AA996">
        <v>0.57999999999999996</v>
      </c>
      <c r="AB996">
        <v>1.93</v>
      </c>
      <c r="AC996">
        <v>1.46</v>
      </c>
      <c r="AD996">
        <v>4.6100000000000003</v>
      </c>
      <c r="AE996">
        <v>6.36</v>
      </c>
      <c r="AF996">
        <v>2.6583333333333332</v>
      </c>
      <c r="AG996" t="str">
        <f>HYPERLINK("https://finance.naver.com/item/fchart.naver?code=077500", "유니퀘스트 차트보기")</f>
        <v>유니퀘스트 차트보기</v>
      </c>
    </row>
    <row r="997" spans="1:33" x14ac:dyDescent="0.3">
      <c r="A997" t="s">
        <v>4015</v>
      </c>
      <c r="B997" t="s">
        <v>34</v>
      </c>
      <c r="C997" t="s">
        <v>4016</v>
      </c>
      <c r="D997">
        <v>288936.95</v>
      </c>
      <c r="E997" t="s">
        <v>4017</v>
      </c>
      <c r="F997">
        <v>77.5</v>
      </c>
      <c r="G997">
        <v>0.4699999988079071</v>
      </c>
      <c r="H997">
        <v>38</v>
      </c>
      <c r="I997">
        <v>1.0199999809265139</v>
      </c>
      <c r="J997" t="s">
        <v>4018</v>
      </c>
      <c r="K997">
        <v>3835</v>
      </c>
      <c r="L997">
        <v>2945</v>
      </c>
      <c r="M997">
        <v>-23.21</v>
      </c>
      <c r="N997">
        <v>2.4300000000000002</v>
      </c>
      <c r="O997">
        <v>-2.02</v>
      </c>
      <c r="P997">
        <v>3.84</v>
      </c>
      <c r="Q997">
        <v>-6.8</v>
      </c>
      <c r="R997">
        <v>-8.61</v>
      </c>
      <c r="S997">
        <v>-13.24</v>
      </c>
      <c r="T997">
        <v>1.4</v>
      </c>
      <c r="U997">
        <v>1.55</v>
      </c>
      <c r="V997">
        <v>8.02</v>
      </c>
      <c r="W997">
        <v>3.88</v>
      </c>
      <c r="X997">
        <v>1.41</v>
      </c>
      <c r="Y997">
        <v>2.9</v>
      </c>
      <c r="Z997">
        <v>1.74</v>
      </c>
      <c r="AA997">
        <v>1.3</v>
      </c>
      <c r="AB997">
        <v>0.48</v>
      </c>
      <c r="AC997">
        <v>1.75</v>
      </c>
      <c r="AD997">
        <v>6.11</v>
      </c>
      <c r="AE997">
        <v>4.57</v>
      </c>
      <c r="AF997">
        <v>2.6583333333333332</v>
      </c>
      <c r="AG997" t="str">
        <f>HYPERLINK("https://finance.naver.com/item/fchart.naver?code=010660", "화천기계 차트보기")</f>
        <v>화천기계 차트보기</v>
      </c>
    </row>
    <row r="998" spans="1:33" x14ac:dyDescent="0.3">
      <c r="A998" t="s">
        <v>4019</v>
      </c>
      <c r="B998" t="s">
        <v>55</v>
      </c>
      <c r="C998" t="s">
        <v>4020</v>
      </c>
      <c r="D998">
        <v>106828.76</v>
      </c>
      <c r="E998" t="s">
        <v>4021</v>
      </c>
      <c r="F998">
        <v>27.39</v>
      </c>
      <c r="G998">
        <v>1.429999947547913</v>
      </c>
      <c r="H998">
        <v>618</v>
      </c>
      <c r="I998">
        <v>1.179999947547913</v>
      </c>
      <c r="J998" t="s">
        <v>4022</v>
      </c>
      <c r="K998">
        <v>15250</v>
      </c>
      <c r="L998">
        <v>16930</v>
      </c>
      <c r="M998">
        <v>11.02</v>
      </c>
      <c r="N998">
        <v>1.62</v>
      </c>
      <c r="O998">
        <v>10.25</v>
      </c>
      <c r="P998">
        <v>4.38</v>
      </c>
      <c r="Q998">
        <v>-5.58</v>
      </c>
      <c r="R998">
        <v>-7.65</v>
      </c>
      <c r="S998">
        <v>-7.83</v>
      </c>
      <c r="T998">
        <v>1.1299999999999999</v>
      </c>
      <c r="U998">
        <v>3.17</v>
      </c>
      <c r="V998">
        <v>2.39</v>
      </c>
      <c r="W998">
        <v>3.35</v>
      </c>
      <c r="X998">
        <v>1.51</v>
      </c>
      <c r="Y998">
        <v>2.86</v>
      </c>
      <c r="Z998">
        <v>1.43</v>
      </c>
      <c r="AA998">
        <v>3.23</v>
      </c>
      <c r="AB998">
        <v>1.83</v>
      </c>
      <c r="AC998">
        <v>1.67</v>
      </c>
      <c r="AD998">
        <v>5.07</v>
      </c>
      <c r="AE998">
        <v>2.74</v>
      </c>
      <c r="AF998">
        <v>2.6616666666666671</v>
      </c>
      <c r="AG998" t="str">
        <f>HYPERLINK("https://finance.naver.com/item/fchart.naver?code=045660", "에이텍 차트보기")</f>
        <v>에이텍 차트보기</v>
      </c>
    </row>
    <row r="999" spans="1:33" x14ac:dyDescent="0.3">
      <c r="A999" t="s">
        <v>4023</v>
      </c>
      <c r="B999" t="s">
        <v>55</v>
      </c>
      <c r="C999" t="s">
        <v>4024</v>
      </c>
      <c r="D999">
        <v>491158.24</v>
      </c>
      <c r="E999" t="s">
        <v>4025</v>
      </c>
      <c r="F999">
        <v>30.19</v>
      </c>
      <c r="G999">
        <v>1.360000014305115</v>
      </c>
      <c r="H999">
        <v>633</v>
      </c>
      <c r="I999">
        <v>2.1500000953674321</v>
      </c>
      <c r="J999" t="s">
        <v>4026</v>
      </c>
      <c r="K999">
        <v>30000</v>
      </c>
      <c r="L999">
        <v>19110</v>
      </c>
      <c r="M999">
        <v>-36.299999999999997</v>
      </c>
      <c r="N999">
        <v>2.58</v>
      </c>
      <c r="O999">
        <v>4.49</v>
      </c>
      <c r="P999">
        <v>-2.09</v>
      </c>
      <c r="Q999">
        <v>-4.82</v>
      </c>
      <c r="R999">
        <v>-19.010000000000002</v>
      </c>
      <c r="S999">
        <v>-9.58</v>
      </c>
      <c r="T999">
        <v>3.95</v>
      </c>
      <c r="U999">
        <v>2.46</v>
      </c>
      <c r="V999">
        <v>3.95</v>
      </c>
      <c r="W999">
        <v>4.29</v>
      </c>
      <c r="X999">
        <v>2.4500000000000002</v>
      </c>
      <c r="Y999">
        <v>2.34</v>
      </c>
      <c r="Z999">
        <v>0.65</v>
      </c>
      <c r="AA999">
        <v>1.83</v>
      </c>
      <c r="AB999">
        <v>0.53</v>
      </c>
      <c r="AC999">
        <v>1.1200000000000001</v>
      </c>
      <c r="AD999">
        <v>7.76</v>
      </c>
      <c r="AE999">
        <v>4.09</v>
      </c>
      <c r="AF999">
        <v>2.663333333333334</v>
      </c>
      <c r="AG999" t="str">
        <f>HYPERLINK("https://finance.naver.com/item/fchart.naver?code=030520", "한글과컴퓨터 차트보기")</f>
        <v>한글과컴퓨터 차트보기</v>
      </c>
    </row>
    <row r="1000" spans="1:33" x14ac:dyDescent="0.3">
      <c r="A1000" t="s">
        <v>4027</v>
      </c>
      <c r="B1000" t="s">
        <v>55</v>
      </c>
      <c r="C1000" t="s">
        <v>4028</v>
      </c>
      <c r="D1000">
        <v>13310.33</v>
      </c>
      <c r="E1000" t="s">
        <v>4029</v>
      </c>
      <c r="F1000">
        <v>14.3</v>
      </c>
      <c r="G1000">
        <v>1.389999985694885</v>
      </c>
      <c r="H1000">
        <v>570</v>
      </c>
      <c r="I1000">
        <v>0.98000001907348633</v>
      </c>
      <c r="J1000" t="s">
        <v>4030</v>
      </c>
      <c r="K1000">
        <v>8760</v>
      </c>
      <c r="L1000">
        <v>8150</v>
      </c>
      <c r="M1000">
        <v>-6.96</v>
      </c>
      <c r="N1000">
        <v>-0.97</v>
      </c>
      <c r="O1000">
        <v>-2.12</v>
      </c>
      <c r="P1000">
        <v>10.33</v>
      </c>
      <c r="Q1000">
        <v>-2.63</v>
      </c>
      <c r="R1000">
        <v>-8.3000000000000007</v>
      </c>
      <c r="S1000">
        <v>-2.79</v>
      </c>
      <c r="T1000">
        <v>2.25</v>
      </c>
      <c r="U1000">
        <v>1.51</v>
      </c>
      <c r="V1000">
        <v>1.68</v>
      </c>
      <c r="W1000">
        <v>5.0199999999999996</v>
      </c>
      <c r="X1000">
        <v>1.45</v>
      </c>
      <c r="Y1000">
        <v>1.58</v>
      </c>
      <c r="Z1000">
        <v>0.43</v>
      </c>
      <c r="AA1000">
        <v>1.4</v>
      </c>
      <c r="AB1000">
        <v>6.15</v>
      </c>
      <c r="AC1000">
        <v>0.52</v>
      </c>
      <c r="AD1000">
        <v>5.72</v>
      </c>
      <c r="AE1000">
        <v>1.77</v>
      </c>
      <c r="AF1000">
        <v>2.665</v>
      </c>
      <c r="AG1000" t="str">
        <f>HYPERLINK("https://finance.naver.com/item/fchart.naver?code=265560", "영화테크 차트보기")</f>
        <v>영화테크 차트보기</v>
      </c>
    </row>
    <row r="1001" spans="1:33" x14ac:dyDescent="0.3">
      <c r="A1001" t="s">
        <v>4031</v>
      </c>
      <c r="B1001" t="s">
        <v>34</v>
      </c>
      <c r="C1001" t="s">
        <v>4032</v>
      </c>
      <c r="D1001">
        <v>19047.62</v>
      </c>
      <c r="E1001" t="s">
        <v>4033</v>
      </c>
      <c r="F1001">
        <v>5.51</v>
      </c>
      <c r="G1001">
        <v>0.46000000834465032</v>
      </c>
      <c r="H1001">
        <v>6237</v>
      </c>
      <c r="I1001">
        <v>3.2000000476837158</v>
      </c>
      <c r="J1001" t="s">
        <v>4034</v>
      </c>
      <c r="K1001">
        <v>37050</v>
      </c>
      <c r="L1001">
        <v>34350</v>
      </c>
      <c r="M1001">
        <v>-7.29</v>
      </c>
      <c r="N1001">
        <v>-0.43</v>
      </c>
      <c r="O1001">
        <v>8.6999999999999993</v>
      </c>
      <c r="P1001">
        <v>2.14</v>
      </c>
      <c r="Q1001">
        <v>-10.47</v>
      </c>
      <c r="R1001">
        <v>-4.2699999999999996</v>
      </c>
      <c r="S1001">
        <v>2.87</v>
      </c>
      <c r="T1001">
        <v>1.48</v>
      </c>
      <c r="U1001">
        <v>1.75</v>
      </c>
      <c r="V1001">
        <v>1.24</v>
      </c>
      <c r="W1001">
        <v>2.52</v>
      </c>
      <c r="X1001">
        <v>1.27</v>
      </c>
      <c r="Y1001">
        <v>1.92</v>
      </c>
      <c r="Z1001">
        <v>0.28999999999999998</v>
      </c>
      <c r="AA1001">
        <v>4.97</v>
      </c>
      <c r="AB1001">
        <v>1.73</v>
      </c>
      <c r="AC1001">
        <v>4.1500000000000004</v>
      </c>
      <c r="AD1001">
        <v>3.36</v>
      </c>
      <c r="AE1001">
        <v>1.49</v>
      </c>
      <c r="AF1001">
        <v>2.665</v>
      </c>
      <c r="AG1001" t="str">
        <f>HYPERLINK("https://finance.naver.com/item/fchart.naver?code=006040", "동원산업 차트보기")</f>
        <v>동원산업 차트보기</v>
      </c>
    </row>
    <row r="1002" spans="1:33" x14ac:dyDescent="0.3">
      <c r="A1002" t="s">
        <v>4035</v>
      </c>
      <c r="B1002" t="s">
        <v>55</v>
      </c>
      <c r="C1002" t="s">
        <v>4036</v>
      </c>
      <c r="D1002">
        <v>505307.86</v>
      </c>
      <c r="E1002" t="s">
        <v>4037</v>
      </c>
      <c r="F1002">
        <v>0</v>
      </c>
      <c r="G1002">
        <v>0.56999999284744263</v>
      </c>
      <c r="H1002">
        <v>0</v>
      </c>
      <c r="I1002">
        <v>0</v>
      </c>
      <c r="J1002" t="s">
        <v>4038</v>
      </c>
      <c r="K1002">
        <v>465</v>
      </c>
      <c r="L1002">
        <v>237</v>
      </c>
      <c r="M1002">
        <v>-49.03</v>
      </c>
      <c r="N1002">
        <v>-5.58</v>
      </c>
      <c r="O1002">
        <v>-0.39</v>
      </c>
      <c r="P1002">
        <v>-41.99</v>
      </c>
      <c r="Q1002">
        <v>11.82</v>
      </c>
      <c r="R1002">
        <v>-10.81</v>
      </c>
      <c r="S1002">
        <v>0.93</v>
      </c>
      <c r="T1002">
        <v>1.36</v>
      </c>
      <c r="U1002">
        <v>2.56</v>
      </c>
      <c r="V1002">
        <v>7.33</v>
      </c>
      <c r="W1002">
        <v>6.59</v>
      </c>
      <c r="X1002">
        <v>2.65</v>
      </c>
      <c r="Y1002">
        <v>6.55</v>
      </c>
      <c r="Z1002">
        <v>4.0999999999999996</v>
      </c>
      <c r="AA1002">
        <v>0.15</v>
      </c>
      <c r="AB1002">
        <v>5.73</v>
      </c>
      <c r="AC1002">
        <v>1.79</v>
      </c>
      <c r="AD1002">
        <v>4.08</v>
      </c>
      <c r="AE1002">
        <v>0.14000000000000001</v>
      </c>
      <c r="AF1002">
        <v>2.665</v>
      </c>
      <c r="AG1002" t="str">
        <f>HYPERLINK("https://finance.naver.com/item/fchart.naver?code=030350", "드래곤플라이 차트보기")</f>
        <v>드래곤플라이 차트보기</v>
      </c>
    </row>
    <row r="1003" spans="1:33" x14ac:dyDescent="0.3">
      <c r="A1003" t="s">
        <v>4039</v>
      </c>
      <c r="B1003" t="s">
        <v>55</v>
      </c>
      <c r="C1003" t="s">
        <v>4040</v>
      </c>
      <c r="D1003">
        <v>12590697.52</v>
      </c>
      <c r="E1003" t="s">
        <v>4041</v>
      </c>
      <c r="F1003">
        <v>0</v>
      </c>
      <c r="G1003">
        <v>0.80000001192092896</v>
      </c>
      <c r="H1003">
        <v>0</v>
      </c>
      <c r="I1003">
        <v>0</v>
      </c>
      <c r="J1003" t="s">
        <v>4042</v>
      </c>
      <c r="K1003">
        <v>2015</v>
      </c>
      <c r="L1003">
        <v>1809</v>
      </c>
      <c r="M1003">
        <v>-10.220000000000001</v>
      </c>
      <c r="N1003">
        <v>-1.0900000000000001</v>
      </c>
      <c r="O1003">
        <v>24.41</v>
      </c>
      <c r="P1003">
        <v>-10.93</v>
      </c>
      <c r="Q1003">
        <v>7.43</v>
      </c>
      <c r="R1003">
        <v>7.45</v>
      </c>
      <c r="S1003">
        <v>-10.51</v>
      </c>
      <c r="T1003">
        <v>6.81</v>
      </c>
      <c r="U1003">
        <v>7.11</v>
      </c>
      <c r="V1003">
        <v>2.36</v>
      </c>
      <c r="W1003">
        <v>9.99</v>
      </c>
      <c r="X1003">
        <v>2.96</v>
      </c>
      <c r="Y1003">
        <v>2.3199999999999998</v>
      </c>
      <c r="Z1003">
        <v>0.16</v>
      </c>
      <c r="AA1003">
        <v>3.43</v>
      </c>
      <c r="AB1003">
        <v>4.63</v>
      </c>
      <c r="AC1003">
        <v>0.74</v>
      </c>
      <c r="AD1003">
        <v>2.52</v>
      </c>
      <c r="AE1003">
        <v>4.53</v>
      </c>
      <c r="AF1003">
        <v>2.668333333333333</v>
      </c>
      <c r="AG1003" t="str">
        <f>HYPERLINK("https://finance.naver.com/item/fchart.naver?code=205470", "휴마시스 차트보기")</f>
        <v>휴마시스 차트보기</v>
      </c>
    </row>
    <row r="1004" spans="1:33" x14ac:dyDescent="0.3">
      <c r="A1004" t="s">
        <v>4043</v>
      </c>
      <c r="B1004" t="s">
        <v>55</v>
      </c>
      <c r="C1004" t="s">
        <v>4044</v>
      </c>
      <c r="D1004">
        <v>267501.19</v>
      </c>
      <c r="E1004" t="s">
        <v>4045</v>
      </c>
      <c r="F1004">
        <v>0</v>
      </c>
      <c r="G1004">
        <v>3.220000028610229</v>
      </c>
      <c r="H1004">
        <v>0</v>
      </c>
      <c r="I1004">
        <v>0</v>
      </c>
      <c r="J1004" t="s">
        <v>4046</v>
      </c>
      <c r="K1004">
        <v>16950</v>
      </c>
      <c r="L1004">
        <v>16090</v>
      </c>
      <c r="M1004">
        <v>-5.07</v>
      </c>
      <c r="N1004">
        <v>-4.2300000000000004</v>
      </c>
      <c r="O1004">
        <v>1.65</v>
      </c>
      <c r="P1004">
        <v>-3.34</v>
      </c>
      <c r="Q1004">
        <v>11.43</v>
      </c>
      <c r="R1004">
        <v>1.56</v>
      </c>
      <c r="S1004">
        <v>-8.8800000000000008</v>
      </c>
      <c r="T1004">
        <v>2.27</v>
      </c>
      <c r="U1004">
        <v>1.83</v>
      </c>
      <c r="V1004">
        <v>2.75</v>
      </c>
      <c r="W1004">
        <v>3.63</v>
      </c>
      <c r="X1004">
        <v>1.52</v>
      </c>
      <c r="Y1004">
        <v>1.1299999999999999</v>
      </c>
      <c r="Z1004">
        <v>1.86</v>
      </c>
      <c r="AA1004">
        <v>0.9</v>
      </c>
      <c r="AB1004">
        <v>1.21</v>
      </c>
      <c r="AC1004">
        <v>3.15</v>
      </c>
      <c r="AD1004">
        <v>1.03</v>
      </c>
      <c r="AE1004">
        <v>7.86</v>
      </c>
      <c r="AF1004">
        <v>2.668333333333333</v>
      </c>
      <c r="AG1004" t="str">
        <f>HYPERLINK("https://finance.naver.com/item/fchart.naver?code=085660", "차바이오텍 차트보기")</f>
        <v>차바이오텍 차트보기</v>
      </c>
    </row>
    <row r="1005" spans="1:33" x14ac:dyDescent="0.3">
      <c r="A1005" t="s">
        <v>4047</v>
      </c>
      <c r="B1005" t="s">
        <v>55</v>
      </c>
      <c r="C1005" t="s">
        <v>4048</v>
      </c>
      <c r="D1005">
        <v>1819.33</v>
      </c>
      <c r="E1005" t="s">
        <v>4049</v>
      </c>
      <c r="F1005">
        <v>0</v>
      </c>
      <c r="G1005">
        <v>0</v>
      </c>
      <c r="H1005">
        <v>0</v>
      </c>
      <c r="I1005">
        <v>3.119999885559082</v>
      </c>
      <c r="J1005" t="s">
        <v>4050</v>
      </c>
      <c r="K1005">
        <v>8380</v>
      </c>
      <c r="L1005">
        <v>7380</v>
      </c>
      <c r="M1005">
        <v>-11.93</v>
      </c>
      <c r="N1005">
        <v>-4.03</v>
      </c>
      <c r="O1005">
        <v>-2.5499999999999998</v>
      </c>
      <c r="P1005">
        <v>-1.51</v>
      </c>
      <c r="Q1005">
        <v>-6.56</v>
      </c>
      <c r="R1005">
        <v>5.09</v>
      </c>
      <c r="S1005">
        <v>-2.27</v>
      </c>
      <c r="T1005">
        <v>1.17</v>
      </c>
      <c r="U1005">
        <v>0.94</v>
      </c>
      <c r="V1005">
        <v>1.17</v>
      </c>
      <c r="W1005">
        <v>1.65</v>
      </c>
      <c r="X1005">
        <v>1.79</v>
      </c>
      <c r="Y1005">
        <v>1.28</v>
      </c>
      <c r="Z1005">
        <v>3.44</v>
      </c>
      <c r="AA1005">
        <v>2.71</v>
      </c>
      <c r="AB1005">
        <v>1.29</v>
      </c>
      <c r="AC1005">
        <v>3.98</v>
      </c>
      <c r="AD1005">
        <v>2.84</v>
      </c>
      <c r="AE1005">
        <v>1.77</v>
      </c>
      <c r="AF1005">
        <v>2.6716666666666669</v>
      </c>
      <c r="AG1005" t="str">
        <f>HYPERLINK("https://finance.naver.com/item/fchart.naver?code=03481K", "해성산업1우 차트보기")</f>
        <v>해성산업1우 차트보기</v>
      </c>
    </row>
    <row r="1006" spans="1:33" x14ac:dyDescent="0.3">
      <c r="A1006" t="s">
        <v>4051</v>
      </c>
      <c r="B1006" t="s">
        <v>34</v>
      </c>
      <c r="C1006" t="s">
        <v>4052</v>
      </c>
      <c r="D1006">
        <v>482021.38</v>
      </c>
      <c r="E1006" t="s">
        <v>4053</v>
      </c>
      <c r="F1006">
        <v>4.82</v>
      </c>
      <c r="G1006">
        <v>0.4699999988079071</v>
      </c>
      <c r="H1006">
        <v>161</v>
      </c>
      <c r="I1006">
        <v>0</v>
      </c>
      <c r="J1006" t="s">
        <v>4054</v>
      </c>
      <c r="K1006">
        <v>854</v>
      </c>
      <c r="L1006">
        <v>776</v>
      </c>
      <c r="M1006">
        <v>-9.1300000000000008</v>
      </c>
      <c r="N1006">
        <v>-3.48</v>
      </c>
      <c r="O1006">
        <v>12.52</v>
      </c>
      <c r="P1006">
        <v>-6.55</v>
      </c>
      <c r="Q1006">
        <v>1.18</v>
      </c>
      <c r="R1006">
        <v>-6.16</v>
      </c>
      <c r="S1006">
        <v>-2.5</v>
      </c>
      <c r="T1006">
        <v>1.49</v>
      </c>
      <c r="U1006">
        <v>2.85</v>
      </c>
      <c r="V1006">
        <v>1.63</v>
      </c>
      <c r="W1006">
        <v>2.17</v>
      </c>
      <c r="X1006">
        <v>2.0099999999999998</v>
      </c>
      <c r="Y1006">
        <v>1.49</v>
      </c>
      <c r="Z1006">
        <v>2.34</v>
      </c>
      <c r="AA1006">
        <v>4.3899999999999997</v>
      </c>
      <c r="AB1006">
        <v>4.0199999999999996</v>
      </c>
      <c r="AC1006">
        <v>0.54</v>
      </c>
      <c r="AD1006">
        <v>3.06</v>
      </c>
      <c r="AE1006">
        <v>1.68</v>
      </c>
      <c r="AF1006">
        <v>2.6716666666666669</v>
      </c>
      <c r="AG1006" t="str">
        <f>HYPERLINK("https://finance.naver.com/item/fchart.naver?code=001020", "페이퍼코리아 차트보기")</f>
        <v>페이퍼코리아 차트보기</v>
      </c>
    </row>
    <row r="1007" spans="1:33" x14ac:dyDescent="0.3">
      <c r="A1007" t="s">
        <v>4055</v>
      </c>
      <c r="B1007" t="s">
        <v>55</v>
      </c>
      <c r="C1007" t="s">
        <v>4056</v>
      </c>
      <c r="D1007">
        <v>2678577.0499999998</v>
      </c>
      <c r="E1007" t="s">
        <v>4057</v>
      </c>
      <c r="F1007">
        <v>45.55</v>
      </c>
      <c r="G1007">
        <v>1.5</v>
      </c>
      <c r="H1007">
        <v>22</v>
      </c>
      <c r="I1007">
        <v>0</v>
      </c>
      <c r="J1007" t="s">
        <v>4058</v>
      </c>
      <c r="K1007">
        <v>1457</v>
      </c>
      <c r="L1007">
        <v>1002</v>
      </c>
      <c r="M1007">
        <v>-31.23</v>
      </c>
      <c r="N1007">
        <v>0.91</v>
      </c>
      <c r="O1007">
        <v>6.43</v>
      </c>
      <c r="P1007">
        <v>-2.63</v>
      </c>
      <c r="Q1007">
        <v>-14.96</v>
      </c>
      <c r="R1007">
        <v>-8.98</v>
      </c>
      <c r="S1007">
        <v>-6.85</v>
      </c>
      <c r="T1007">
        <v>2.64</v>
      </c>
      <c r="U1007">
        <v>7.33</v>
      </c>
      <c r="V1007">
        <v>1.82</v>
      </c>
      <c r="W1007">
        <v>3.87</v>
      </c>
      <c r="X1007">
        <v>1.94</v>
      </c>
      <c r="Y1007">
        <v>1.41</v>
      </c>
      <c r="Z1007">
        <v>0.34</v>
      </c>
      <c r="AA1007">
        <v>0.88</v>
      </c>
      <c r="AB1007">
        <v>1.45</v>
      </c>
      <c r="AC1007">
        <v>3.87</v>
      </c>
      <c r="AD1007">
        <v>4.63</v>
      </c>
      <c r="AE1007">
        <v>4.8600000000000003</v>
      </c>
      <c r="AF1007">
        <v>2.6716666666666669</v>
      </c>
      <c r="AG1007" t="str">
        <f>HYPERLINK("https://finance.naver.com/item/fchart.naver?code=328380", "솔트웨어 차트보기")</f>
        <v>솔트웨어 차트보기</v>
      </c>
    </row>
    <row r="1008" spans="1:33" x14ac:dyDescent="0.3">
      <c r="A1008" t="s">
        <v>4059</v>
      </c>
      <c r="B1008" t="s">
        <v>34</v>
      </c>
      <c r="C1008" t="s">
        <v>4060</v>
      </c>
      <c r="D1008">
        <v>971636</v>
      </c>
      <c r="E1008" t="s">
        <v>4061</v>
      </c>
      <c r="F1008">
        <v>3.01</v>
      </c>
      <c r="G1008">
        <v>0.17000000178813929</v>
      </c>
      <c r="H1008">
        <v>954</v>
      </c>
      <c r="I1008">
        <v>5.2300000190734863</v>
      </c>
      <c r="J1008" t="s">
        <v>4062</v>
      </c>
      <c r="K1008">
        <v>3160</v>
      </c>
      <c r="L1008">
        <v>2870</v>
      </c>
      <c r="M1008">
        <v>-9.18</v>
      </c>
      <c r="N1008">
        <v>-1.88</v>
      </c>
      <c r="O1008">
        <v>5.9</v>
      </c>
      <c r="P1008">
        <v>-3.04</v>
      </c>
      <c r="Q1008">
        <v>-3.88</v>
      </c>
      <c r="R1008">
        <v>4.3600000000000003</v>
      </c>
      <c r="S1008">
        <v>6.57</v>
      </c>
      <c r="T1008">
        <v>0.74</v>
      </c>
      <c r="U1008">
        <v>1.59</v>
      </c>
      <c r="V1008">
        <v>2.0299999999999998</v>
      </c>
      <c r="W1008">
        <v>2.87</v>
      </c>
      <c r="X1008">
        <v>1.72</v>
      </c>
      <c r="Y1008">
        <v>1.49</v>
      </c>
      <c r="Z1008">
        <v>2.54</v>
      </c>
      <c r="AA1008">
        <v>3.71</v>
      </c>
      <c r="AB1008">
        <v>1.5</v>
      </c>
      <c r="AC1008">
        <v>1.35</v>
      </c>
      <c r="AD1008">
        <v>2.5299999999999998</v>
      </c>
      <c r="AE1008">
        <v>4.41</v>
      </c>
      <c r="AF1008">
        <v>2.6733333333333329</v>
      </c>
      <c r="AG1008" t="str">
        <f>HYPERLINK("https://finance.naver.com/item/fchart.naver?code=088350", "한화생명 차트보기")</f>
        <v>한화생명 차트보기</v>
      </c>
    </row>
    <row r="1009" spans="1:33" x14ac:dyDescent="0.3">
      <c r="A1009" t="s">
        <v>4063</v>
      </c>
      <c r="B1009" t="s">
        <v>34</v>
      </c>
      <c r="C1009" t="s">
        <v>4064</v>
      </c>
      <c r="D1009">
        <v>2187.81</v>
      </c>
      <c r="E1009" t="s">
        <v>4065</v>
      </c>
      <c r="F1009">
        <v>4.8600000000000003</v>
      </c>
      <c r="G1009">
        <v>0.28999999165534968</v>
      </c>
      <c r="H1009">
        <v>6065</v>
      </c>
      <c r="I1009">
        <v>7.4699997901916504</v>
      </c>
      <c r="J1009" t="s">
        <v>4066</v>
      </c>
      <c r="K1009">
        <v>31200</v>
      </c>
      <c r="L1009">
        <v>29450</v>
      </c>
      <c r="M1009">
        <v>-5.61</v>
      </c>
      <c r="N1009">
        <v>-0.84</v>
      </c>
      <c r="O1009">
        <v>1.54</v>
      </c>
      <c r="P1009">
        <v>0.17</v>
      </c>
      <c r="Q1009">
        <v>0.34</v>
      </c>
      <c r="R1009">
        <v>-3.93</v>
      </c>
      <c r="S1009">
        <v>0</v>
      </c>
      <c r="T1009">
        <v>0.3</v>
      </c>
      <c r="U1009">
        <v>0.48</v>
      </c>
      <c r="V1009">
        <v>0.85</v>
      </c>
      <c r="W1009">
        <v>1.35</v>
      </c>
      <c r="X1009">
        <v>0.41</v>
      </c>
      <c r="Y1009">
        <v>0.36</v>
      </c>
      <c r="Z1009">
        <v>2.8</v>
      </c>
      <c r="AA1009">
        <v>3.21</v>
      </c>
      <c r="AB1009">
        <v>0.2</v>
      </c>
      <c r="AC1009">
        <v>0.25</v>
      </c>
      <c r="AD1009">
        <v>9.59</v>
      </c>
      <c r="AE1009">
        <v>0</v>
      </c>
      <c r="AF1009">
        <v>2.6749999999999998</v>
      </c>
      <c r="AG1009" t="str">
        <f>HYPERLINK("https://finance.naver.com/item/fchart.naver?code=037710", "광주신세계 차트보기")</f>
        <v>광주신세계 차트보기</v>
      </c>
    </row>
    <row r="1010" spans="1:33" x14ac:dyDescent="0.3">
      <c r="A1010" t="s">
        <v>4067</v>
      </c>
      <c r="B1010" t="s">
        <v>34</v>
      </c>
      <c r="C1010" t="s">
        <v>4068</v>
      </c>
      <c r="D1010">
        <v>1862.95</v>
      </c>
      <c r="E1010" t="s">
        <v>4069</v>
      </c>
      <c r="F1010">
        <v>11.56</v>
      </c>
      <c r="G1010">
        <v>0.23000000417232511</v>
      </c>
      <c r="H1010">
        <v>288</v>
      </c>
      <c r="I1010">
        <v>0</v>
      </c>
      <c r="J1010" t="s">
        <v>4070</v>
      </c>
      <c r="K1010">
        <v>4435</v>
      </c>
      <c r="L1010">
        <v>3330</v>
      </c>
      <c r="M1010">
        <v>-24.92</v>
      </c>
      <c r="N1010">
        <v>1.83</v>
      </c>
      <c r="O1010">
        <v>-8.36</v>
      </c>
      <c r="P1010">
        <v>-2.15</v>
      </c>
      <c r="Q1010">
        <v>-2.14</v>
      </c>
      <c r="R1010">
        <v>-0.13</v>
      </c>
      <c r="S1010">
        <v>-12.71</v>
      </c>
      <c r="T1010">
        <v>2.78</v>
      </c>
      <c r="U1010">
        <v>2.63</v>
      </c>
      <c r="V1010">
        <v>2.64</v>
      </c>
      <c r="W1010">
        <v>4.79</v>
      </c>
      <c r="X1010">
        <v>1.36</v>
      </c>
      <c r="Y1010">
        <v>1.17</v>
      </c>
      <c r="Z1010">
        <v>0.66</v>
      </c>
      <c r="AA1010">
        <v>3.18</v>
      </c>
      <c r="AB1010">
        <v>0.81</v>
      </c>
      <c r="AC1010">
        <v>0.45</v>
      </c>
      <c r="AD1010">
        <v>0.1</v>
      </c>
      <c r="AE1010">
        <v>10.86</v>
      </c>
      <c r="AF1010">
        <v>2.6766666666666659</v>
      </c>
      <c r="AG1010" t="str">
        <f>HYPERLINK("https://finance.naver.com/item/fchart.naver?code=010400", "우진아이엔에스 차트보기")</f>
        <v>우진아이엔에스 차트보기</v>
      </c>
    </row>
    <row r="1011" spans="1:33" x14ac:dyDescent="0.3">
      <c r="A1011" t="s">
        <v>4071</v>
      </c>
      <c r="B1011" t="s">
        <v>55</v>
      </c>
      <c r="C1011" t="s">
        <v>4072</v>
      </c>
      <c r="D1011">
        <v>107755.62</v>
      </c>
      <c r="E1011" t="s">
        <v>4073</v>
      </c>
      <c r="F1011">
        <v>7.06</v>
      </c>
      <c r="G1011">
        <v>0.64999997615814209</v>
      </c>
      <c r="H1011">
        <v>778</v>
      </c>
      <c r="I1011">
        <v>1.820000052452087</v>
      </c>
      <c r="J1011" t="s">
        <v>4074</v>
      </c>
      <c r="K1011">
        <v>7770</v>
      </c>
      <c r="L1011">
        <v>5490</v>
      </c>
      <c r="M1011">
        <v>-29.34</v>
      </c>
      <c r="N1011">
        <v>2.23</v>
      </c>
      <c r="O1011">
        <v>-4.54</v>
      </c>
      <c r="P1011">
        <v>3.59</v>
      </c>
      <c r="Q1011">
        <v>-6.71</v>
      </c>
      <c r="R1011">
        <v>-11.5</v>
      </c>
      <c r="S1011">
        <v>-5.29</v>
      </c>
      <c r="T1011">
        <v>2.04</v>
      </c>
      <c r="U1011">
        <v>1.75</v>
      </c>
      <c r="V1011">
        <v>3.06</v>
      </c>
      <c r="W1011">
        <v>4.3899999999999997</v>
      </c>
      <c r="X1011">
        <v>1.78</v>
      </c>
      <c r="Y1011">
        <v>1.64</v>
      </c>
      <c r="Z1011">
        <v>1.0900000000000001</v>
      </c>
      <c r="AA1011">
        <v>2.59</v>
      </c>
      <c r="AB1011">
        <v>1.17</v>
      </c>
      <c r="AC1011">
        <v>1.53</v>
      </c>
      <c r="AD1011">
        <v>6.46</v>
      </c>
      <c r="AE1011">
        <v>3.23</v>
      </c>
      <c r="AF1011">
        <v>2.6783333333333328</v>
      </c>
      <c r="AG1011" t="str">
        <f>HYPERLINK("https://finance.naver.com/item/fchart.naver?code=053450", "세코닉스 차트보기")</f>
        <v>세코닉스 차트보기</v>
      </c>
    </row>
    <row r="1012" spans="1:33" x14ac:dyDescent="0.3">
      <c r="A1012" t="s">
        <v>4075</v>
      </c>
      <c r="B1012" t="s">
        <v>34</v>
      </c>
      <c r="C1012" t="s">
        <v>4076</v>
      </c>
      <c r="D1012">
        <v>40512.519999999997</v>
      </c>
      <c r="E1012" t="s">
        <v>4077</v>
      </c>
      <c r="F1012">
        <v>0</v>
      </c>
      <c r="G1012">
        <v>0.36000001430511469</v>
      </c>
      <c r="H1012">
        <v>0</v>
      </c>
      <c r="I1012">
        <v>0</v>
      </c>
      <c r="J1012" t="s">
        <v>4078</v>
      </c>
      <c r="K1012">
        <v>2325</v>
      </c>
      <c r="L1012">
        <v>2010</v>
      </c>
      <c r="M1012">
        <v>-13.55</v>
      </c>
      <c r="N1012">
        <v>-2.9</v>
      </c>
      <c r="O1012">
        <v>-6.49</v>
      </c>
      <c r="P1012">
        <v>0</v>
      </c>
      <c r="Q1012">
        <v>-4.01</v>
      </c>
      <c r="R1012">
        <v>-11.07</v>
      </c>
      <c r="S1012">
        <v>7.47</v>
      </c>
      <c r="T1012">
        <v>1.05</v>
      </c>
      <c r="U1012">
        <v>1.1399999999999999</v>
      </c>
      <c r="V1012">
        <v>1.47</v>
      </c>
      <c r="W1012">
        <v>5.43</v>
      </c>
      <c r="X1012">
        <v>1.85</v>
      </c>
      <c r="Y1012">
        <v>8.25</v>
      </c>
      <c r="Z1012">
        <v>2.76</v>
      </c>
      <c r="AA1012">
        <v>5.69</v>
      </c>
      <c r="AB1012">
        <v>0</v>
      </c>
      <c r="AC1012">
        <v>0.74</v>
      </c>
      <c r="AD1012">
        <v>5.98</v>
      </c>
      <c r="AE1012">
        <v>0.91</v>
      </c>
      <c r="AF1012">
        <v>2.68</v>
      </c>
      <c r="AG1012" t="str">
        <f>HYPERLINK("https://finance.naver.com/item/fchart.naver?code=004540", "깨끗한나라 차트보기")</f>
        <v>깨끗한나라 차트보기</v>
      </c>
    </row>
    <row r="1013" spans="1:33" x14ac:dyDescent="0.3">
      <c r="A1013" t="s">
        <v>4079</v>
      </c>
      <c r="B1013" t="s">
        <v>55</v>
      </c>
      <c r="C1013" t="s">
        <v>4080</v>
      </c>
      <c r="D1013">
        <v>348346.52</v>
      </c>
      <c r="E1013" t="s">
        <v>4081</v>
      </c>
      <c r="F1013">
        <v>10.07</v>
      </c>
      <c r="G1013">
        <v>0.87999999523162842</v>
      </c>
      <c r="H1013">
        <v>489</v>
      </c>
      <c r="I1013">
        <v>3.0499999523162842</v>
      </c>
      <c r="J1013" t="s">
        <v>4082</v>
      </c>
      <c r="K1013">
        <v>6340</v>
      </c>
      <c r="L1013">
        <v>4925</v>
      </c>
      <c r="M1013">
        <v>-22.32</v>
      </c>
      <c r="N1013">
        <v>5.35</v>
      </c>
      <c r="O1013">
        <v>-6.41</v>
      </c>
      <c r="P1013">
        <v>-2.2599999999999998</v>
      </c>
      <c r="Q1013">
        <v>-21.25</v>
      </c>
      <c r="R1013">
        <v>9.27</v>
      </c>
      <c r="S1013">
        <v>-6.53</v>
      </c>
      <c r="T1013">
        <v>3.08</v>
      </c>
      <c r="U1013">
        <v>2.13</v>
      </c>
      <c r="V1013">
        <v>2</v>
      </c>
      <c r="W1013">
        <v>4.49</v>
      </c>
      <c r="X1013">
        <v>4.6399999999999997</v>
      </c>
      <c r="Y1013">
        <v>1.88</v>
      </c>
      <c r="Z1013">
        <v>1.74</v>
      </c>
      <c r="AA1013">
        <v>3.01</v>
      </c>
      <c r="AB1013">
        <v>1.1299999999999999</v>
      </c>
      <c r="AC1013">
        <v>4.7300000000000004</v>
      </c>
      <c r="AD1013">
        <v>2</v>
      </c>
      <c r="AE1013">
        <v>3.47</v>
      </c>
      <c r="AF1013">
        <v>2.68</v>
      </c>
      <c r="AG1013" t="str">
        <f>HYPERLINK("https://finance.naver.com/item/fchart.naver?code=037440", "희림 차트보기")</f>
        <v>희림 차트보기</v>
      </c>
    </row>
    <row r="1014" spans="1:33" x14ac:dyDescent="0.3">
      <c r="A1014" t="s">
        <v>4083</v>
      </c>
      <c r="B1014" t="s">
        <v>55</v>
      </c>
      <c r="C1014" t="s">
        <v>4084</v>
      </c>
      <c r="D1014">
        <v>259508.67</v>
      </c>
      <c r="E1014" t="s">
        <v>4085</v>
      </c>
      <c r="F1014">
        <v>6.63</v>
      </c>
      <c r="G1014">
        <v>0.34999999403953552</v>
      </c>
      <c r="H1014">
        <v>41</v>
      </c>
      <c r="I1014">
        <v>0</v>
      </c>
      <c r="J1014" t="s">
        <v>4086</v>
      </c>
      <c r="K1014">
        <v>320</v>
      </c>
      <c r="L1014">
        <v>272</v>
      </c>
      <c r="M1014">
        <v>-15</v>
      </c>
      <c r="N1014">
        <v>0</v>
      </c>
      <c r="O1014">
        <v>-7.19</v>
      </c>
      <c r="P1014">
        <v>-2</v>
      </c>
      <c r="Q1014">
        <v>-5.26</v>
      </c>
      <c r="R1014">
        <v>-0.62</v>
      </c>
      <c r="S1014">
        <v>2.23</v>
      </c>
      <c r="T1014">
        <v>1.1200000000000001</v>
      </c>
      <c r="U1014">
        <v>0.64</v>
      </c>
      <c r="V1014">
        <v>1.33</v>
      </c>
      <c r="W1014">
        <v>2.63</v>
      </c>
      <c r="X1014">
        <v>0.93</v>
      </c>
      <c r="Y1014">
        <v>3.3</v>
      </c>
      <c r="Z1014">
        <v>0</v>
      </c>
      <c r="AA1014">
        <v>11.23</v>
      </c>
      <c r="AB1014">
        <v>1.5</v>
      </c>
      <c r="AC1014">
        <v>2</v>
      </c>
      <c r="AD1014">
        <v>0.67</v>
      </c>
      <c r="AE1014">
        <v>0.68</v>
      </c>
      <c r="AF1014">
        <v>2.68</v>
      </c>
      <c r="AG1014" t="str">
        <f>HYPERLINK("https://finance.naver.com/item/fchart.naver?code=016600", "큐캐피탈 차트보기")</f>
        <v>큐캐피탈 차트보기</v>
      </c>
    </row>
    <row r="1015" spans="1:33" x14ac:dyDescent="0.3">
      <c r="A1015" t="s">
        <v>4087</v>
      </c>
      <c r="B1015" t="s">
        <v>55</v>
      </c>
      <c r="C1015" t="s">
        <v>4088</v>
      </c>
      <c r="D1015">
        <v>86643.43</v>
      </c>
      <c r="E1015" t="s">
        <v>4089</v>
      </c>
      <c r="F1015">
        <v>14.38</v>
      </c>
      <c r="G1015">
        <v>1.0900000333786011</v>
      </c>
      <c r="H1015">
        <v>152</v>
      </c>
      <c r="I1015">
        <v>1.6499999761581421</v>
      </c>
      <c r="J1015" t="s">
        <v>4090</v>
      </c>
      <c r="K1015">
        <v>2835</v>
      </c>
      <c r="L1015">
        <v>2185</v>
      </c>
      <c r="M1015">
        <v>-22.93</v>
      </c>
      <c r="N1015">
        <v>-6.02</v>
      </c>
      <c r="O1015">
        <v>-7.37</v>
      </c>
      <c r="P1015">
        <v>-3.92</v>
      </c>
      <c r="Q1015">
        <v>11.68</v>
      </c>
      <c r="R1015">
        <v>-10.06</v>
      </c>
      <c r="S1015">
        <v>0.38</v>
      </c>
      <c r="T1015">
        <v>2.65</v>
      </c>
      <c r="U1015">
        <v>1.87</v>
      </c>
      <c r="V1015">
        <v>2.54</v>
      </c>
      <c r="W1015">
        <v>5.72</v>
      </c>
      <c r="X1015">
        <v>1.64</v>
      </c>
      <c r="Y1015">
        <v>2.2200000000000002</v>
      </c>
      <c r="Z1015">
        <v>2.27</v>
      </c>
      <c r="AA1015">
        <v>3.94</v>
      </c>
      <c r="AB1015">
        <v>1.54</v>
      </c>
      <c r="AC1015">
        <v>2.04</v>
      </c>
      <c r="AD1015">
        <v>6.13</v>
      </c>
      <c r="AE1015">
        <v>0.17</v>
      </c>
      <c r="AF1015">
        <v>2.6816666666666671</v>
      </c>
      <c r="AG1015" t="str">
        <f>HYPERLINK("https://finance.naver.com/item/fchart.naver?code=382480", "지아이텍 차트보기")</f>
        <v>지아이텍 차트보기</v>
      </c>
    </row>
    <row r="1016" spans="1:33" x14ac:dyDescent="0.3">
      <c r="A1016" t="s">
        <v>4091</v>
      </c>
      <c r="B1016" t="s">
        <v>55</v>
      </c>
      <c r="C1016" t="s">
        <v>4092</v>
      </c>
      <c r="D1016">
        <v>262541.28999999998</v>
      </c>
      <c r="E1016" t="s">
        <v>4093</v>
      </c>
      <c r="F1016">
        <v>0</v>
      </c>
      <c r="G1016">
        <v>1.360000014305115</v>
      </c>
      <c r="H1016">
        <v>0</v>
      </c>
      <c r="I1016">
        <v>0</v>
      </c>
      <c r="J1016" t="s">
        <v>4094</v>
      </c>
      <c r="K1016">
        <v>34650</v>
      </c>
      <c r="L1016">
        <v>24200</v>
      </c>
      <c r="M1016">
        <v>-30.16</v>
      </c>
      <c r="N1016">
        <v>-11.19</v>
      </c>
      <c r="O1016">
        <v>-14.18</v>
      </c>
      <c r="P1016">
        <v>-6.76</v>
      </c>
      <c r="Q1016">
        <v>-8.4499999999999993</v>
      </c>
      <c r="R1016">
        <v>7.07</v>
      </c>
      <c r="S1016">
        <v>-5.56</v>
      </c>
      <c r="T1016">
        <v>3.42</v>
      </c>
      <c r="U1016">
        <v>2.72</v>
      </c>
      <c r="V1016">
        <v>3.74</v>
      </c>
      <c r="W1016">
        <v>4.21</v>
      </c>
      <c r="X1016">
        <v>4.2300000000000004</v>
      </c>
      <c r="Y1016">
        <v>2.62</v>
      </c>
      <c r="Z1016">
        <v>3.27</v>
      </c>
      <c r="AA1016">
        <v>5.21</v>
      </c>
      <c r="AB1016">
        <v>1.81</v>
      </c>
      <c r="AC1016">
        <v>2.0099999999999998</v>
      </c>
      <c r="AD1016">
        <v>1.67</v>
      </c>
      <c r="AE1016">
        <v>2.12</v>
      </c>
      <c r="AF1016">
        <v>2.6816666666666671</v>
      </c>
      <c r="AG1016" t="str">
        <f>HYPERLINK("https://finance.naver.com/item/fchart.naver?code=240810", "원익IPS 차트보기")</f>
        <v>원익IPS 차트보기</v>
      </c>
    </row>
    <row r="1017" spans="1:33" x14ac:dyDescent="0.3">
      <c r="A1017" t="s">
        <v>4095</v>
      </c>
      <c r="B1017" t="s">
        <v>55</v>
      </c>
      <c r="C1017" t="s">
        <v>4096</v>
      </c>
      <c r="D1017">
        <v>281578.23999999999</v>
      </c>
      <c r="E1017" t="s">
        <v>4097</v>
      </c>
      <c r="F1017">
        <v>0</v>
      </c>
      <c r="G1017">
        <v>0.79000002145767212</v>
      </c>
      <c r="H1017">
        <v>0</v>
      </c>
      <c r="I1017">
        <v>0</v>
      </c>
      <c r="J1017" t="s">
        <v>4098</v>
      </c>
      <c r="K1017">
        <v>4350</v>
      </c>
      <c r="L1017">
        <v>3805</v>
      </c>
      <c r="M1017">
        <v>-12.53</v>
      </c>
      <c r="N1017">
        <v>-8.1999999999999993</v>
      </c>
      <c r="O1017">
        <v>17.41</v>
      </c>
      <c r="P1017">
        <v>0.31</v>
      </c>
      <c r="Q1017">
        <v>-10.34</v>
      </c>
      <c r="R1017">
        <v>-10.71</v>
      </c>
      <c r="S1017">
        <v>-5.44</v>
      </c>
      <c r="T1017">
        <v>5.67</v>
      </c>
      <c r="U1017">
        <v>4.57</v>
      </c>
      <c r="V1017">
        <v>1.73</v>
      </c>
      <c r="W1017">
        <v>4.8600000000000003</v>
      </c>
      <c r="X1017">
        <v>1.45</v>
      </c>
      <c r="Y1017">
        <v>4.83</v>
      </c>
      <c r="Z1017">
        <v>1.45</v>
      </c>
      <c r="AA1017">
        <v>3.81</v>
      </c>
      <c r="AB1017">
        <v>0.18</v>
      </c>
      <c r="AC1017">
        <v>2.13</v>
      </c>
      <c r="AD1017">
        <v>7.39</v>
      </c>
      <c r="AE1017">
        <v>1.1299999999999999</v>
      </c>
      <c r="AF1017">
        <v>2.6816666666666671</v>
      </c>
      <c r="AG1017" t="str">
        <f>HYPERLINK("https://finance.naver.com/item/fchart.naver?code=318160", "셀바이오휴먼텍 차트보기")</f>
        <v>셀바이오휴먼텍 차트보기</v>
      </c>
    </row>
    <row r="1018" spans="1:33" x14ac:dyDescent="0.3">
      <c r="A1018" t="s">
        <v>4099</v>
      </c>
      <c r="B1018" t="s">
        <v>55</v>
      </c>
      <c r="C1018" t="s">
        <v>4100</v>
      </c>
      <c r="D1018">
        <v>104757.33</v>
      </c>
      <c r="E1018" t="s">
        <v>4101</v>
      </c>
      <c r="F1018">
        <v>0</v>
      </c>
      <c r="G1018">
        <v>2.6099998950958252</v>
      </c>
      <c r="H1018">
        <v>0</v>
      </c>
      <c r="I1018">
        <v>0</v>
      </c>
      <c r="J1018" t="s">
        <v>4102</v>
      </c>
      <c r="K1018">
        <v>11690</v>
      </c>
      <c r="L1018">
        <v>6400</v>
      </c>
      <c r="M1018">
        <v>-45.25</v>
      </c>
      <c r="N1018">
        <v>-4.1900000000000004</v>
      </c>
      <c r="O1018">
        <v>-9.5500000000000007</v>
      </c>
      <c r="P1018">
        <v>-0.52</v>
      </c>
      <c r="Q1018">
        <v>-22.78</v>
      </c>
      <c r="R1018">
        <v>-6.06</v>
      </c>
      <c r="S1018">
        <v>-5.31</v>
      </c>
      <c r="T1018">
        <v>2.5299999999999998</v>
      </c>
      <c r="U1018">
        <v>2.33</v>
      </c>
      <c r="V1018">
        <v>2.68</v>
      </c>
      <c r="W1018">
        <v>3.7</v>
      </c>
      <c r="X1018">
        <v>3.59</v>
      </c>
      <c r="Y1018">
        <v>2.3199999999999998</v>
      </c>
      <c r="Z1018">
        <v>1.66</v>
      </c>
      <c r="AA1018">
        <v>4.0999999999999996</v>
      </c>
      <c r="AB1018">
        <v>0.19</v>
      </c>
      <c r="AC1018">
        <v>6.16</v>
      </c>
      <c r="AD1018">
        <v>1.69</v>
      </c>
      <c r="AE1018">
        <v>2.29</v>
      </c>
      <c r="AF1018">
        <v>2.6816666666666671</v>
      </c>
      <c r="AG1018" t="str">
        <f>HYPERLINK("https://finance.naver.com/item/fchart.naver?code=060280", "큐렉소 차트보기")</f>
        <v>큐렉소 차트보기</v>
      </c>
    </row>
    <row r="1019" spans="1:33" x14ac:dyDescent="0.3">
      <c r="A1019" t="s">
        <v>4103</v>
      </c>
      <c r="B1019" t="s">
        <v>55</v>
      </c>
      <c r="C1019" t="s">
        <v>4104</v>
      </c>
      <c r="D1019">
        <v>196134.33</v>
      </c>
      <c r="E1019" t="s">
        <v>4105</v>
      </c>
      <c r="F1019">
        <v>0</v>
      </c>
      <c r="G1019">
        <v>1.549999952316284</v>
      </c>
      <c r="H1019">
        <v>0</v>
      </c>
      <c r="I1019">
        <v>0</v>
      </c>
      <c r="J1019" t="s">
        <v>4106</v>
      </c>
      <c r="K1019">
        <v>5880</v>
      </c>
      <c r="L1019">
        <v>3105</v>
      </c>
      <c r="M1019">
        <v>-47.19</v>
      </c>
      <c r="N1019">
        <v>0.16</v>
      </c>
      <c r="O1019">
        <v>-3.64</v>
      </c>
      <c r="P1019">
        <v>-28.48</v>
      </c>
      <c r="Q1019">
        <v>11.23</v>
      </c>
      <c r="R1019">
        <v>1.67</v>
      </c>
      <c r="S1019">
        <v>-19.53</v>
      </c>
      <c r="T1019">
        <v>2.68</v>
      </c>
      <c r="U1019">
        <v>7.68</v>
      </c>
      <c r="V1019">
        <v>4.5199999999999996</v>
      </c>
      <c r="W1019">
        <v>8.2100000000000009</v>
      </c>
      <c r="X1019">
        <v>4.7699999999999996</v>
      </c>
      <c r="Y1019">
        <v>2.59</v>
      </c>
      <c r="Z1019">
        <v>0.06</v>
      </c>
      <c r="AA1019">
        <v>0.47</v>
      </c>
      <c r="AB1019">
        <v>6.3</v>
      </c>
      <c r="AC1019">
        <v>1.37</v>
      </c>
      <c r="AD1019">
        <v>0.35</v>
      </c>
      <c r="AE1019">
        <v>7.54</v>
      </c>
      <c r="AF1019">
        <v>2.6816666666666671</v>
      </c>
      <c r="AG1019" t="str">
        <f>HYPERLINK("https://finance.naver.com/item/fchart.naver?code=340810", "씨유박스 차트보기")</f>
        <v>씨유박스 차트보기</v>
      </c>
    </row>
    <row r="1020" spans="1:33" x14ac:dyDescent="0.3">
      <c r="A1020" t="s">
        <v>4107</v>
      </c>
      <c r="B1020" t="s">
        <v>34</v>
      </c>
      <c r="C1020" t="s">
        <v>4108</v>
      </c>
      <c r="D1020">
        <v>446546.48</v>
      </c>
      <c r="E1020" t="s">
        <v>4109</v>
      </c>
      <c r="F1020">
        <v>0</v>
      </c>
      <c r="G1020">
        <v>0.8399999737739563</v>
      </c>
      <c r="H1020">
        <v>0</v>
      </c>
      <c r="I1020">
        <v>0</v>
      </c>
      <c r="J1020" t="s">
        <v>4110</v>
      </c>
      <c r="K1020">
        <v>1805</v>
      </c>
      <c r="L1020">
        <v>1629</v>
      </c>
      <c r="M1020">
        <v>-9.75</v>
      </c>
      <c r="N1020">
        <v>2.39</v>
      </c>
      <c r="O1020">
        <v>-3.87</v>
      </c>
      <c r="P1020">
        <v>-14.29</v>
      </c>
      <c r="Q1020">
        <v>-7.62</v>
      </c>
      <c r="R1020">
        <v>35.71</v>
      </c>
      <c r="S1020">
        <v>-10.5</v>
      </c>
      <c r="T1020">
        <v>4.83</v>
      </c>
      <c r="U1020">
        <v>2.37</v>
      </c>
      <c r="V1020">
        <v>6.37</v>
      </c>
      <c r="W1020">
        <v>3.7</v>
      </c>
      <c r="X1020">
        <v>5.99</v>
      </c>
      <c r="Y1020">
        <v>2.82</v>
      </c>
      <c r="Z1020">
        <v>0.49</v>
      </c>
      <c r="AA1020">
        <v>1.63</v>
      </c>
      <c r="AB1020">
        <v>2.2400000000000002</v>
      </c>
      <c r="AC1020">
        <v>2.06</v>
      </c>
      <c r="AD1020">
        <v>5.96</v>
      </c>
      <c r="AE1020">
        <v>3.72</v>
      </c>
      <c r="AF1020">
        <v>2.6833333333333331</v>
      </c>
      <c r="AG1020" t="str">
        <f>HYPERLINK("https://finance.naver.com/item/fchart.naver?code=009190", "대양금속 차트보기")</f>
        <v>대양금속 차트보기</v>
      </c>
    </row>
    <row r="1021" spans="1:33" x14ac:dyDescent="0.3">
      <c r="A1021" t="s">
        <v>4111</v>
      </c>
      <c r="B1021" t="s">
        <v>55</v>
      </c>
      <c r="C1021" t="s">
        <v>4112</v>
      </c>
      <c r="D1021">
        <v>233051.24</v>
      </c>
      <c r="E1021" t="s">
        <v>4113</v>
      </c>
      <c r="J1021" t="s">
        <v>4114</v>
      </c>
      <c r="K1021">
        <v>16010</v>
      </c>
      <c r="L1021">
        <v>8640</v>
      </c>
      <c r="M1021">
        <v>-46.03</v>
      </c>
      <c r="N1021">
        <v>-19.93</v>
      </c>
      <c r="O1021">
        <v>-10.28</v>
      </c>
      <c r="P1021">
        <v>2.83</v>
      </c>
      <c r="Q1021">
        <v>-34.700000000000003</v>
      </c>
      <c r="R1021">
        <v>-6.15</v>
      </c>
      <c r="S1021">
        <v>-9.49</v>
      </c>
      <c r="T1021">
        <v>11.11</v>
      </c>
      <c r="U1021">
        <v>2.12</v>
      </c>
      <c r="V1021">
        <v>3.95</v>
      </c>
      <c r="W1021">
        <v>6.93</v>
      </c>
      <c r="X1021">
        <v>4.32</v>
      </c>
      <c r="Y1021">
        <v>4.07</v>
      </c>
      <c r="Z1021">
        <v>1.79</v>
      </c>
      <c r="AA1021">
        <v>4.8499999999999996</v>
      </c>
      <c r="AB1021">
        <v>0.72</v>
      </c>
      <c r="AC1021">
        <v>5.01</v>
      </c>
      <c r="AD1021">
        <v>1.42</v>
      </c>
      <c r="AE1021">
        <v>2.33</v>
      </c>
      <c r="AF1021">
        <v>2.6866666666666661</v>
      </c>
      <c r="AG1021" t="str">
        <f>HYPERLINK("https://finance.naver.com/item/fchart.naver?code=950140", "잉글우드랩 차트보기")</f>
        <v>잉글우드랩 차트보기</v>
      </c>
    </row>
    <row r="1022" spans="1:33" x14ac:dyDescent="0.3">
      <c r="A1022" t="s">
        <v>4115</v>
      </c>
      <c r="B1022" t="s">
        <v>34</v>
      </c>
      <c r="C1022" t="s">
        <v>4116</v>
      </c>
      <c r="D1022">
        <v>213744.1</v>
      </c>
      <c r="E1022" t="s">
        <v>4117</v>
      </c>
      <c r="F1022">
        <v>13.81</v>
      </c>
      <c r="G1022">
        <v>1.2300000190734861</v>
      </c>
      <c r="H1022">
        <v>1041</v>
      </c>
      <c r="I1022">
        <v>0</v>
      </c>
      <c r="J1022" t="s">
        <v>4118</v>
      </c>
      <c r="K1022">
        <v>13940</v>
      </c>
      <c r="L1022">
        <v>14380</v>
      </c>
      <c r="M1022">
        <v>3.16</v>
      </c>
      <c r="N1022">
        <v>9.94</v>
      </c>
      <c r="O1022">
        <v>-11.72</v>
      </c>
      <c r="P1022">
        <v>3.82</v>
      </c>
      <c r="Q1022">
        <v>9.81</v>
      </c>
      <c r="R1022">
        <v>-7.37</v>
      </c>
      <c r="S1022">
        <v>-8.4</v>
      </c>
      <c r="T1022">
        <v>5.01</v>
      </c>
      <c r="U1022">
        <v>3.22</v>
      </c>
      <c r="V1022">
        <v>2.83</v>
      </c>
      <c r="W1022">
        <v>4.54</v>
      </c>
      <c r="X1022">
        <v>1.66</v>
      </c>
      <c r="Y1022">
        <v>3.29</v>
      </c>
      <c r="Z1022">
        <v>1.98</v>
      </c>
      <c r="AA1022">
        <v>3.64</v>
      </c>
      <c r="AB1022">
        <v>1.35</v>
      </c>
      <c r="AC1022">
        <v>2.16</v>
      </c>
      <c r="AD1022">
        <v>4.4400000000000004</v>
      </c>
      <c r="AE1022">
        <v>2.5499999999999998</v>
      </c>
      <c r="AF1022">
        <v>2.686666666666667</v>
      </c>
      <c r="AG1022" t="str">
        <f>HYPERLINK("https://finance.naver.com/item/fchart.naver?code=100090", "SK오션플랜트 차트보기")</f>
        <v>SK오션플랜트 차트보기</v>
      </c>
    </row>
    <row r="1023" spans="1:33" x14ac:dyDescent="0.3">
      <c r="A1023" t="s">
        <v>4119</v>
      </c>
      <c r="B1023" t="s">
        <v>34</v>
      </c>
      <c r="C1023" t="s">
        <v>4120</v>
      </c>
      <c r="D1023">
        <v>269349.43</v>
      </c>
      <c r="E1023" t="s">
        <v>4121</v>
      </c>
      <c r="F1023">
        <v>20.079999999999998</v>
      </c>
      <c r="G1023">
        <v>1.080000042915344</v>
      </c>
      <c r="H1023">
        <v>5597</v>
      </c>
      <c r="I1023">
        <v>1.0199999809265139</v>
      </c>
      <c r="J1023" t="s">
        <v>4122</v>
      </c>
      <c r="K1023">
        <v>154200</v>
      </c>
      <c r="L1023">
        <v>112400</v>
      </c>
      <c r="M1023">
        <v>-27.11</v>
      </c>
      <c r="N1023">
        <v>-4.01</v>
      </c>
      <c r="O1023">
        <v>-9.06</v>
      </c>
      <c r="P1023">
        <v>-8.75</v>
      </c>
      <c r="Q1023">
        <v>-10.47</v>
      </c>
      <c r="R1023">
        <v>2.31</v>
      </c>
      <c r="S1023">
        <v>-0.69</v>
      </c>
      <c r="T1023">
        <v>1.61</v>
      </c>
      <c r="U1023">
        <v>1.77</v>
      </c>
      <c r="V1023">
        <v>2.59</v>
      </c>
      <c r="W1023">
        <v>2.7</v>
      </c>
      <c r="X1023">
        <v>2.82</v>
      </c>
      <c r="Y1023">
        <v>1.62</v>
      </c>
      <c r="Z1023">
        <v>2.4900000000000002</v>
      </c>
      <c r="AA1023">
        <v>5.12</v>
      </c>
      <c r="AB1023">
        <v>3.38</v>
      </c>
      <c r="AC1023">
        <v>3.88</v>
      </c>
      <c r="AD1023">
        <v>0.82</v>
      </c>
      <c r="AE1023">
        <v>0.43</v>
      </c>
      <c r="AF1023">
        <v>2.686666666666667</v>
      </c>
      <c r="AG1023" t="str">
        <f>HYPERLINK("https://finance.naver.com/item/fchart.naver?code=009150", "삼성전기 차트보기")</f>
        <v>삼성전기 차트보기</v>
      </c>
    </row>
    <row r="1024" spans="1:33" x14ac:dyDescent="0.3">
      <c r="A1024" t="s">
        <v>4123</v>
      </c>
      <c r="B1024" t="s">
        <v>55</v>
      </c>
      <c r="C1024" t="s">
        <v>4124</v>
      </c>
      <c r="D1024">
        <v>262231.86</v>
      </c>
      <c r="E1024" t="s">
        <v>4125</v>
      </c>
      <c r="F1024">
        <v>10.68</v>
      </c>
      <c r="G1024">
        <v>2.4200000762939449</v>
      </c>
      <c r="H1024">
        <v>1906</v>
      </c>
      <c r="I1024">
        <v>0</v>
      </c>
      <c r="J1024" t="s">
        <v>4126</v>
      </c>
      <c r="K1024">
        <v>22100</v>
      </c>
      <c r="L1024">
        <v>20350</v>
      </c>
      <c r="M1024">
        <v>-7.92</v>
      </c>
      <c r="N1024">
        <v>-7.08</v>
      </c>
      <c r="O1024">
        <v>19.96</v>
      </c>
      <c r="P1024">
        <v>-5.79</v>
      </c>
      <c r="Q1024">
        <v>-13.84</v>
      </c>
      <c r="R1024">
        <v>-11.61</v>
      </c>
      <c r="S1024">
        <v>11.63</v>
      </c>
      <c r="T1024">
        <v>3.36</v>
      </c>
      <c r="U1024">
        <v>4.04</v>
      </c>
      <c r="V1024">
        <v>2.93</v>
      </c>
      <c r="W1024">
        <v>4.7300000000000004</v>
      </c>
      <c r="X1024">
        <v>5.39</v>
      </c>
      <c r="Y1024">
        <v>5.78</v>
      </c>
      <c r="Z1024">
        <v>2.11</v>
      </c>
      <c r="AA1024">
        <v>4.9400000000000004</v>
      </c>
      <c r="AB1024">
        <v>1.98</v>
      </c>
      <c r="AC1024">
        <v>2.93</v>
      </c>
      <c r="AD1024">
        <v>2.15</v>
      </c>
      <c r="AE1024">
        <v>2.0099999999999998</v>
      </c>
      <c r="AF1024">
        <v>2.686666666666667</v>
      </c>
      <c r="AG1024" t="str">
        <f>HYPERLINK("https://finance.naver.com/item/fchart.naver?code=448710", "코츠테크놀로지 차트보기")</f>
        <v>코츠테크놀로지 차트보기</v>
      </c>
    </row>
    <row r="1025" spans="1:33" x14ac:dyDescent="0.3">
      <c r="A1025" t="s">
        <v>4127</v>
      </c>
      <c r="B1025" t="s">
        <v>55</v>
      </c>
      <c r="C1025" t="s">
        <v>4128</v>
      </c>
      <c r="D1025">
        <v>457570.95</v>
      </c>
      <c r="E1025" t="s">
        <v>4129</v>
      </c>
      <c r="F1025">
        <v>0</v>
      </c>
      <c r="G1025">
        <v>0.94999998807907104</v>
      </c>
      <c r="H1025">
        <v>0</v>
      </c>
      <c r="I1025">
        <v>0</v>
      </c>
      <c r="J1025" t="s">
        <v>4130</v>
      </c>
      <c r="K1025">
        <v>1423</v>
      </c>
      <c r="L1025">
        <v>1045</v>
      </c>
      <c r="M1025">
        <v>-26.56</v>
      </c>
      <c r="N1025">
        <v>-1.42</v>
      </c>
      <c r="O1025">
        <v>-6.33</v>
      </c>
      <c r="P1025">
        <v>5.14</v>
      </c>
      <c r="Q1025">
        <v>-14.79</v>
      </c>
      <c r="R1025">
        <v>-6.97</v>
      </c>
      <c r="S1025">
        <v>-1.28</v>
      </c>
      <c r="T1025">
        <v>1.51</v>
      </c>
      <c r="U1025">
        <v>2.13</v>
      </c>
      <c r="V1025">
        <v>2.27</v>
      </c>
      <c r="W1025">
        <v>4.03</v>
      </c>
      <c r="X1025">
        <v>1.34</v>
      </c>
      <c r="Y1025">
        <v>1.17</v>
      </c>
      <c r="Z1025">
        <v>0.94</v>
      </c>
      <c r="AA1025">
        <v>2.97</v>
      </c>
      <c r="AB1025">
        <v>2.2599999999999998</v>
      </c>
      <c r="AC1025">
        <v>3.67</v>
      </c>
      <c r="AD1025">
        <v>5.2</v>
      </c>
      <c r="AE1025">
        <v>1.0900000000000001</v>
      </c>
      <c r="AF1025">
        <v>2.688333333333333</v>
      </c>
      <c r="AG1025" t="str">
        <f>HYPERLINK("https://finance.naver.com/item/fchart.naver?code=050110", "캠시스 차트보기")</f>
        <v>캠시스 차트보기</v>
      </c>
    </row>
    <row r="1026" spans="1:33" x14ac:dyDescent="0.3">
      <c r="A1026" t="s">
        <v>4131</v>
      </c>
      <c r="B1026" t="s">
        <v>55</v>
      </c>
      <c r="C1026" t="s">
        <v>4132</v>
      </c>
      <c r="D1026">
        <v>32797.71</v>
      </c>
      <c r="E1026" t="s">
        <v>4133</v>
      </c>
      <c r="F1026">
        <v>6.26</v>
      </c>
      <c r="G1026">
        <v>0.43000000715255737</v>
      </c>
      <c r="H1026">
        <v>136</v>
      </c>
      <c r="I1026">
        <v>0</v>
      </c>
      <c r="J1026" t="s">
        <v>4134</v>
      </c>
      <c r="K1026">
        <v>895</v>
      </c>
      <c r="L1026">
        <v>852</v>
      </c>
      <c r="M1026">
        <v>-4.8</v>
      </c>
      <c r="N1026">
        <v>-1.27</v>
      </c>
      <c r="O1026">
        <v>-3.05</v>
      </c>
      <c r="P1026">
        <v>-8.16</v>
      </c>
      <c r="Q1026">
        <v>10.44</v>
      </c>
      <c r="R1026">
        <v>-0.81</v>
      </c>
      <c r="S1026">
        <v>-0.8</v>
      </c>
      <c r="T1026">
        <v>2.12</v>
      </c>
      <c r="U1026">
        <v>0.84</v>
      </c>
      <c r="V1026">
        <v>1.04</v>
      </c>
      <c r="W1026">
        <v>3.88</v>
      </c>
      <c r="X1026">
        <v>1.43</v>
      </c>
      <c r="Y1026">
        <v>1</v>
      </c>
      <c r="Z1026">
        <v>0.6</v>
      </c>
      <c r="AA1026">
        <v>3.63</v>
      </c>
      <c r="AB1026">
        <v>7.85</v>
      </c>
      <c r="AC1026">
        <v>2.69</v>
      </c>
      <c r="AD1026">
        <v>0.56999999999999995</v>
      </c>
      <c r="AE1026">
        <v>0.8</v>
      </c>
      <c r="AF1026">
        <v>2.69</v>
      </c>
      <c r="AG1026" t="str">
        <f>HYPERLINK("https://finance.naver.com/item/fchart.naver?code=036170", "클라우드에어 차트보기")</f>
        <v>클라우드에어 차트보기</v>
      </c>
    </row>
    <row r="1027" spans="1:33" x14ac:dyDescent="0.3">
      <c r="A1027" t="s">
        <v>4135</v>
      </c>
      <c r="B1027" t="s">
        <v>34</v>
      </c>
      <c r="C1027" t="s">
        <v>4136</v>
      </c>
      <c r="D1027">
        <v>60925.19</v>
      </c>
      <c r="E1027" t="s">
        <v>4137</v>
      </c>
      <c r="F1027">
        <v>7.93</v>
      </c>
      <c r="G1027">
        <v>0.70999997854232788</v>
      </c>
      <c r="H1027">
        <v>8888</v>
      </c>
      <c r="I1027">
        <v>0.99000000953674316</v>
      </c>
      <c r="J1027" t="s">
        <v>4138</v>
      </c>
      <c r="K1027">
        <v>107800</v>
      </c>
      <c r="L1027">
        <v>70500</v>
      </c>
      <c r="M1027">
        <v>-34.6</v>
      </c>
      <c r="N1027">
        <v>1.73</v>
      </c>
      <c r="O1027">
        <v>-15.41</v>
      </c>
      <c r="P1027">
        <v>-11.12</v>
      </c>
      <c r="Q1027">
        <v>10.69</v>
      </c>
      <c r="R1027">
        <v>-9.6199999999999992</v>
      </c>
      <c r="S1027">
        <v>0.28999999999999998</v>
      </c>
      <c r="T1027">
        <v>3.37</v>
      </c>
      <c r="U1027">
        <v>2.58</v>
      </c>
      <c r="V1027">
        <v>3.06</v>
      </c>
      <c r="W1027">
        <v>4.4000000000000004</v>
      </c>
      <c r="X1027">
        <v>2.77</v>
      </c>
      <c r="Y1027">
        <v>2.29</v>
      </c>
      <c r="Z1027">
        <v>0.51</v>
      </c>
      <c r="AA1027">
        <v>5.97</v>
      </c>
      <c r="AB1027">
        <v>3.63</v>
      </c>
      <c r="AC1027">
        <v>2.4300000000000002</v>
      </c>
      <c r="AD1027">
        <v>3.47</v>
      </c>
      <c r="AE1027">
        <v>0.13</v>
      </c>
      <c r="AF1027">
        <v>2.69</v>
      </c>
      <c r="AG1027" t="str">
        <f>HYPERLINK("https://finance.naver.com/item/fchart.naver?code=004490", "세방전지 차트보기")</f>
        <v>세방전지 차트보기</v>
      </c>
    </row>
    <row r="1028" spans="1:33" x14ac:dyDescent="0.3">
      <c r="A1028" t="s">
        <v>4139</v>
      </c>
      <c r="B1028" t="s">
        <v>55</v>
      </c>
      <c r="C1028" t="s">
        <v>4140</v>
      </c>
      <c r="D1028">
        <v>16223.52</v>
      </c>
      <c r="E1028" t="s">
        <v>4141</v>
      </c>
      <c r="F1028">
        <v>0</v>
      </c>
      <c r="G1028">
        <v>0</v>
      </c>
      <c r="H1028">
        <v>0</v>
      </c>
      <c r="I1028">
        <v>0</v>
      </c>
      <c r="J1028" t="s">
        <v>4142</v>
      </c>
      <c r="K1028">
        <v>2135</v>
      </c>
      <c r="L1028">
        <v>2090</v>
      </c>
      <c r="M1028">
        <v>-2.11</v>
      </c>
      <c r="N1028">
        <v>0</v>
      </c>
      <c r="O1028">
        <v>0</v>
      </c>
      <c r="P1028">
        <v>-1.89</v>
      </c>
      <c r="Q1028">
        <v>-2.2999999999999998</v>
      </c>
      <c r="R1028">
        <v>-1.82</v>
      </c>
      <c r="S1028">
        <v>2.82</v>
      </c>
      <c r="T1028">
        <v>0.31</v>
      </c>
      <c r="U1028">
        <v>0.35</v>
      </c>
      <c r="V1028">
        <v>0.41</v>
      </c>
      <c r="W1028">
        <v>0.78</v>
      </c>
      <c r="X1028">
        <v>0.62</v>
      </c>
      <c r="Y1028">
        <v>0.5</v>
      </c>
      <c r="Z1028">
        <v>0</v>
      </c>
      <c r="AA1028">
        <v>0</v>
      </c>
      <c r="AB1028">
        <v>4.6100000000000003</v>
      </c>
      <c r="AC1028">
        <v>2.95</v>
      </c>
      <c r="AD1028">
        <v>2.94</v>
      </c>
      <c r="AE1028">
        <v>5.64</v>
      </c>
      <c r="AF1028">
        <v>2.69</v>
      </c>
      <c r="AG1028" t="str">
        <f>HYPERLINK("https://finance.naver.com/item/fchart.naver?code=435380", "유안타제10호스팩 차트보기")</f>
        <v>유안타제10호스팩 차트보기</v>
      </c>
    </row>
    <row r="1029" spans="1:33" x14ac:dyDescent="0.3">
      <c r="A1029" t="s">
        <v>4143</v>
      </c>
      <c r="B1029" t="s">
        <v>55</v>
      </c>
      <c r="C1029" t="s">
        <v>4144</v>
      </c>
      <c r="D1029">
        <v>136176.76</v>
      </c>
      <c r="E1029" t="s">
        <v>4145</v>
      </c>
      <c r="F1029">
        <v>129.06</v>
      </c>
      <c r="G1029">
        <v>5.429999828338623</v>
      </c>
      <c r="H1029">
        <v>117</v>
      </c>
      <c r="I1029">
        <v>0.23000000417232511</v>
      </c>
      <c r="J1029" t="s">
        <v>4146</v>
      </c>
      <c r="K1029">
        <v>20550</v>
      </c>
      <c r="L1029">
        <v>15100</v>
      </c>
      <c r="M1029">
        <v>-26.52</v>
      </c>
      <c r="N1029">
        <v>-5.39</v>
      </c>
      <c r="O1029">
        <v>-10.26</v>
      </c>
      <c r="P1029">
        <v>-5.42</v>
      </c>
      <c r="Q1029">
        <v>-10.86</v>
      </c>
      <c r="R1029">
        <v>-12.67</v>
      </c>
      <c r="S1029">
        <v>1.99</v>
      </c>
      <c r="T1029">
        <v>3.42</v>
      </c>
      <c r="U1029">
        <v>2.19</v>
      </c>
      <c r="V1029">
        <v>4.82</v>
      </c>
      <c r="W1029">
        <v>5.22</v>
      </c>
      <c r="X1029">
        <v>2.08</v>
      </c>
      <c r="Y1029">
        <v>3.32</v>
      </c>
      <c r="Z1029">
        <v>1.58</v>
      </c>
      <c r="AA1029">
        <v>4.68</v>
      </c>
      <c r="AB1029">
        <v>1.1200000000000001</v>
      </c>
      <c r="AC1029">
        <v>2.08</v>
      </c>
      <c r="AD1029">
        <v>6.09</v>
      </c>
      <c r="AE1029">
        <v>0.6</v>
      </c>
      <c r="AF1029">
        <v>2.6916666666666669</v>
      </c>
      <c r="AG1029" t="str">
        <f>HYPERLINK("https://finance.naver.com/item/fchart.naver?code=009520", "포스코엠텍 차트보기")</f>
        <v>포스코엠텍 차트보기</v>
      </c>
    </row>
    <row r="1030" spans="1:33" x14ac:dyDescent="0.3">
      <c r="A1030" t="s">
        <v>4147</v>
      </c>
      <c r="B1030" t="s">
        <v>34</v>
      </c>
      <c r="C1030" t="s">
        <v>4148</v>
      </c>
      <c r="D1030">
        <v>21276.05</v>
      </c>
      <c r="E1030" t="s">
        <v>4149</v>
      </c>
      <c r="F1030">
        <v>13.68</v>
      </c>
      <c r="G1030">
        <v>1</v>
      </c>
      <c r="H1030">
        <v>21595</v>
      </c>
      <c r="I1030">
        <v>3.380000114440918</v>
      </c>
      <c r="J1030" t="s">
        <v>4150</v>
      </c>
      <c r="K1030">
        <v>389500</v>
      </c>
      <c r="L1030">
        <v>295500</v>
      </c>
      <c r="M1030">
        <v>-24.13</v>
      </c>
      <c r="N1030">
        <v>-2.48</v>
      </c>
      <c r="O1030">
        <v>-1.1200000000000001</v>
      </c>
      <c r="P1030">
        <v>8.5500000000000007</v>
      </c>
      <c r="Q1030">
        <v>-3.41</v>
      </c>
      <c r="R1030">
        <v>-13.59</v>
      </c>
      <c r="S1030">
        <v>-11.76</v>
      </c>
      <c r="T1030">
        <v>2.44</v>
      </c>
      <c r="U1030">
        <v>2.4700000000000002</v>
      </c>
      <c r="V1030">
        <v>3.26</v>
      </c>
      <c r="W1030">
        <v>2.5099999999999998</v>
      </c>
      <c r="X1030">
        <v>2.16</v>
      </c>
      <c r="Y1030">
        <v>2.66</v>
      </c>
      <c r="Z1030">
        <v>1.02</v>
      </c>
      <c r="AA1030">
        <v>0.45</v>
      </c>
      <c r="AB1030">
        <v>2.62</v>
      </c>
      <c r="AC1030">
        <v>1.36</v>
      </c>
      <c r="AD1030">
        <v>6.29</v>
      </c>
      <c r="AE1030">
        <v>4.42</v>
      </c>
      <c r="AF1030">
        <v>2.6933333333333329</v>
      </c>
      <c r="AG1030" t="str">
        <f>HYPERLINK("https://finance.naver.com/item/fchart.naver?code=298020", "효성티앤씨 차트보기")</f>
        <v>효성티앤씨 차트보기</v>
      </c>
    </row>
    <row r="1031" spans="1:33" x14ac:dyDescent="0.3">
      <c r="A1031" t="s">
        <v>4151</v>
      </c>
      <c r="B1031" t="s">
        <v>55</v>
      </c>
      <c r="C1031" t="s">
        <v>4152</v>
      </c>
      <c r="D1031">
        <v>277050.43</v>
      </c>
      <c r="E1031" t="s">
        <v>4153</v>
      </c>
      <c r="F1031">
        <v>39.57</v>
      </c>
      <c r="G1031">
        <v>1.309999942779541</v>
      </c>
      <c r="H1031">
        <v>324</v>
      </c>
      <c r="I1031">
        <v>0.77999997138977051</v>
      </c>
      <c r="J1031" t="s">
        <v>4154</v>
      </c>
      <c r="K1031">
        <v>18120</v>
      </c>
      <c r="L1031">
        <v>12820</v>
      </c>
      <c r="M1031">
        <v>-29.25</v>
      </c>
      <c r="N1031">
        <v>-5.94</v>
      </c>
      <c r="O1031">
        <v>5.37</v>
      </c>
      <c r="P1031">
        <v>-11.27</v>
      </c>
      <c r="Q1031">
        <v>3.28</v>
      </c>
      <c r="R1031">
        <v>-16.170000000000002</v>
      </c>
      <c r="S1031">
        <v>-2.23</v>
      </c>
      <c r="T1031">
        <v>1.31</v>
      </c>
      <c r="U1031">
        <v>3.52</v>
      </c>
      <c r="V1031">
        <v>3.1</v>
      </c>
      <c r="W1031">
        <v>5.77</v>
      </c>
      <c r="X1031">
        <v>3.2</v>
      </c>
      <c r="Y1031">
        <v>2.61</v>
      </c>
      <c r="Z1031">
        <v>4.53</v>
      </c>
      <c r="AA1031">
        <v>1.53</v>
      </c>
      <c r="AB1031">
        <v>3.64</v>
      </c>
      <c r="AC1031">
        <v>0.56999999999999995</v>
      </c>
      <c r="AD1031">
        <v>5.05</v>
      </c>
      <c r="AE1031">
        <v>0.85</v>
      </c>
      <c r="AF1031">
        <v>2.6949999999999998</v>
      </c>
      <c r="AG1031" t="str">
        <f>HYPERLINK("https://finance.naver.com/item/fchart.naver?code=079370", "제우스 차트보기")</f>
        <v>제우스 차트보기</v>
      </c>
    </row>
    <row r="1032" spans="1:33" x14ac:dyDescent="0.3">
      <c r="A1032" t="s">
        <v>4155</v>
      </c>
      <c r="B1032" t="s">
        <v>55</v>
      </c>
      <c r="C1032" t="s">
        <v>4156</v>
      </c>
      <c r="D1032">
        <v>830381.33</v>
      </c>
      <c r="E1032" t="s">
        <v>4157</v>
      </c>
      <c r="F1032">
        <v>46.98</v>
      </c>
      <c r="G1032">
        <v>0.87999999523162842</v>
      </c>
      <c r="H1032">
        <v>63</v>
      </c>
      <c r="I1032">
        <v>1.0099999904632571</v>
      </c>
      <c r="J1032" t="s">
        <v>4158</v>
      </c>
      <c r="K1032">
        <v>4110</v>
      </c>
      <c r="L1032">
        <v>2960</v>
      </c>
      <c r="M1032">
        <v>-27.98</v>
      </c>
      <c r="N1032">
        <v>-9.34</v>
      </c>
      <c r="O1032">
        <v>-0.85</v>
      </c>
      <c r="P1032">
        <v>-12.65</v>
      </c>
      <c r="Q1032">
        <v>-8.4499999999999993</v>
      </c>
      <c r="R1032">
        <v>2.39</v>
      </c>
      <c r="S1032">
        <v>-17.260000000000002</v>
      </c>
      <c r="T1032">
        <v>5.56</v>
      </c>
      <c r="U1032">
        <v>6.49</v>
      </c>
      <c r="V1032">
        <v>3.44</v>
      </c>
      <c r="W1032">
        <v>5.16</v>
      </c>
      <c r="X1032">
        <v>7.38</v>
      </c>
      <c r="Y1032">
        <v>1.98</v>
      </c>
      <c r="Z1032">
        <v>1.68</v>
      </c>
      <c r="AA1032">
        <v>0.13</v>
      </c>
      <c r="AB1032">
        <v>3.68</v>
      </c>
      <c r="AC1032">
        <v>1.64</v>
      </c>
      <c r="AD1032">
        <v>0.32</v>
      </c>
      <c r="AE1032">
        <v>8.7200000000000006</v>
      </c>
      <c r="AF1032">
        <v>2.6949999999999998</v>
      </c>
      <c r="AG1032" t="str">
        <f>HYPERLINK("https://finance.naver.com/item/fchart.naver?code=221800", "유투바이오 차트보기")</f>
        <v>유투바이오 차트보기</v>
      </c>
    </row>
    <row r="1033" spans="1:33" x14ac:dyDescent="0.3">
      <c r="A1033" t="s">
        <v>4159</v>
      </c>
      <c r="B1033" t="s">
        <v>34</v>
      </c>
      <c r="C1033" t="s">
        <v>4160</v>
      </c>
      <c r="D1033">
        <v>121040.24</v>
      </c>
      <c r="E1033" t="s">
        <v>4161</v>
      </c>
      <c r="F1033">
        <v>10.47</v>
      </c>
      <c r="G1033">
        <v>0.37999999523162842</v>
      </c>
      <c r="H1033">
        <v>3853</v>
      </c>
      <c r="I1033">
        <v>0.5</v>
      </c>
      <c r="J1033" t="s">
        <v>4162</v>
      </c>
      <c r="K1033">
        <v>37550</v>
      </c>
      <c r="L1033">
        <v>40350</v>
      </c>
      <c r="M1033">
        <v>7.46</v>
      </c>
      <c r="N1033">
        <v>-41.09</v>
      </c>
      <c r="O1033">
        <v>7.5</v>
      </c>
      <c r="P1033">
        <v>5.56</v>
      </c>
      <c r="Q1033">
        <v>28.77</v>
      </c>
      <c r="R1033">
        <v>0.76</v>
      </c>
      <c r="S1033">
        <v>29.97</v>
      </c>
      <c r="T1033">
        <v>10.02</v>
      </c>
      <c r="U1033">
        <v>5.38</v>
      </c>
      <c r="V1033">
        <v>2.75</v>
      </c>
      <c r="W1033">
        <v>6.19</v>
      </c>
      <c r="X1033">
        <v>5.08</v>
      </c>
      <c r="Y1033">
        <v>7.74</v>
      </c>
      <c r="Z1033">
        <v>4.0999999999999996</v>
      </c>
      <c r="AA1033">
        <v>1.39</v>
      </c>
      <c r="AB1033">
        <v>2.02</v>
      </c>
      <c r="AC1033">
        <v>4.6500000000000004</v>
      </c>
      <c r="AD1033">
        <v>0.15</v>
      </c>
      <c r="AE1033">
        <v>3.87</v>
      </c>
      <c r="AF1033">
        <v>2.6966666666666672</v>
      </c>
      <c r="AG1033" t="str">
        <f>HYPERLINK("https://finance.naver.com/item/fchart.naver?code=007160", "사조산업 차트보기")</f>
        <v>사조산업 차트보기</v>
      </c>
    </row>
    <row r="1034" spans="1:33" x14ac:dyDescent="0.3">
      <c r="A1034" t="s">
        <v>4163</v>
      </c>
      <c r="B1034" t="s">
        <v>55</v>
      </c>
      <c r="C1034" t="s">
        <v>4164</v>
      </c>
      <c r="D1034">
        <v>23684.29</v>
      </c>
      <c r="E1034" t="s">
        <v>4165</v>
      </c>
      <c r="F1034">
        <v>7.37</v>
      </c>
      <c r="G1034">
        <v>0.51999998092651367</v>
      </c>
      <c r="H1034">
        <v>775</v>
      </c>
      <c r="I1034">
        <v>7.0100002288818359</v>
      </c>
      <c r="J1034" t="s">
        <v>4166</v>
      </c>
      <c r="K1034">
        <v>5730</v>
      </c>
      <c r="L1034">
        <v>5710</v>
      </c>
      <c r="M1034">
        <v>-0.35</v>
      </c>
      <c r="N1034">
        <v>-2.89</v>
      </c>
      <c r="O1034">
        <v>3</v>
      </c>
      <c r="P1034">
        <v>0</v>
      </c>
      <c r="Q1034">
        <v>0.71</v>
      </c>
      <c r="R1034">
        <v>0.36</v>
      </c>
      <c r="S1034">
        <v>-1.76</v>
      </c>
      <c r="T1034">
        <v>0.84</v>
      </c>
      <c r="U1034">
        <v>0.53</v>
      </c>
      <c r="V1034">
        <v>0.49</v>
      </c>
      <c r="W1034">
        <v>1.34</v>
      </c>
      <c r="X1034">
        <v>0.74</v>
      </c>
      <c r="Y1034">
        <v>0.28999999999999998</v>
      </c>
      <c r="Z1034">
        <v>3.44</v>
      </c>
      <c r="AA1034">
        <v>5.66</v>
      </c>
      <c r="AB1034">
        <v>0</v>
      </c>
      <c r="AC1034">
        <v>0.53</v>
      </c>
      <c r="AD1034">
        <v>0.49</v>
      </c>
      <c r="AE1034">
        <v>6.07</v>
      </c>
      <c r="AF1034">
        <v>2.6983333333333328</v>
      </c>
      <c r="AG1034" t="str">
        <f>HYPERLINK("https://finance.naver.com/item/fchart.naver?code=093920", "서원인텍 차트보기")</f>
        <v>서원인텍 차트보기</v>
      </c>
    </row>
    <row r="1035" spans="1:33" x14ac:dyDescent="0.3">
      <c r="A1035" t="s">
        <v>4167</v>
      </c>
      <c r="B1035" t="s">
        <v>55</v>
      </c>
      <c r="C1035" t="s">
        <v>4168</v>
      </c>
      <c r="D1035">
        <v>784238.48</v>
      </c>
      <c r="E1035" t="s">
        <v>4169</v>
      </c>
      <c r="F1035">
        <v>5</v>
      </c>
      <c r="G1035">
        <v>0.80000001192092896</v>
      </c>
      <c r="H1035">
        <v>1127</v>
      </c>
      <c r="I1035">
        <v>0</v>
      </c>
      <c r="J1035" t="s">
        <v>4170</v>
      </c>
      <c r="K1035">
        <v>6160</v>
      </c>
      <c r="L1035">
        <v>5630</v>
      </c>
      <c r="M1035">
        <v>-8.6</v>
      </c>
      <c r="N1035">
        <v>13.17</v>
      </c>
      <c r="O1035">
        <v>2.91</v>
      </c>
      <c r="P1035">
        <v>-0.59</v>
      </c>
      <c r="Q1035">
        <v>-9.06</v>
      </c>
      <c r="R1035">
        <v>-4.26</v>
      </c>
      <c r="S1035">
        <v>-7.31</v>
      </c>
      <c r="T1035">
        <v>5.22</v>
      </c>
      <c r="U1035">
        <v>2.5</v>
      </c>
      <c r="V1035">
        <v>1.52</v>
      </c>
      <c r="W1035">
        <v>3.02</v>
      </c>
      <c r="X1035">
        <v>2.7</v>
      </c>
      <c r="Y1035">
        <v>0.97</v>
      </c>
      <c r="Z1035">
        <v>2.52</v>
      </c>
      <c r="AA1035">
        <v>1.1599999999999999</v>
      </c>
      <c r="AB1035">
        <v>0.39</v>
      </c>
      <c r="AC1035">
        <v>3</v>
      </c>
      <c r="AD1035">
        <v>1.58</v>
      </c>
      <c r="AE1035">
        <v>7.54</v>
      </c>
      <c r="AF1035">
        <v>2.6983333333333328</v>
      </c>
      <c r="AG1035" t="str">
        <f>HYPERLINK("https://finance.naver.com/item/fchart.naver?code=025980", "아난티 차트보기")</f>
        <v>아난티 차트보기</v>
      </c>
    </row>
    <row r="1036" spans="1:33" x14ac:dyDescent="0.3">
      <c r="A1036" t="s">
        <v>4171</v>
      </c>
      <c r="B1036" t="s">
        <v>55</v>
      </c>
      <c r="C1036" t="s">
        <v>4172</v>
      </c>
      <c r="D1036">
        <v>12306.9</v>
      </c>
      <c r="E1036" t="s">
        <v>4173</v>
      </c>
      <c r="F1036">
        <v>3.86</v>
      </c>
      <c r="G1036">
        <v>0.70999997854232788</v>
      </c>
      <c r="H1036">
        <v>4489</v>
      </c>
      <c r="I1036">
        <v>2.5999999046325679</v>
      </c>
      <c r="J1036" t="s">
        <v>4174</v>
      </c>
      <c r="K1036">
        <v>22700</v>
      </c>
      <c r="L1036">
        <v>17340</v>
      </c>
      <c r="M1036">
        <v>-23.61</v>
      </c>
      <c r="N1036">
        <v>-0.86</v>
      </c>
      <c r="O1036">
        <v>-5.69</v>
      </c>
      <c r="P1036">
        <v>3.35</v>
      </c>
      <c r="Q1036">
        <v>-4.16</v>
      </c>
      <c r="R1036">
        <v>-5.09</v>
      </c>
      <c r="S1036">
        <v>-5.54</v>
      </c>
      <c r="T1036">
        <v>1.23</v>
      </c>
      <c r="U1036">
        <v>1.1499999999999999</v>
      </c>
      <c r="V1036">
        <v>2.06</v>
      </c>
      <c r="W1036">
        <v>3.03</v>
      </c>
      <c r="X1036">
        <v>1.02</v>
      </c>
      <c r="Y1036">
        <v>2.16</v>
      </c>
      <c r="Z1036">
        <v>0.7</v>
      </c>
      <c r="AA1036">
        <v>4.95</v>
      </c>
      <c r="AB1036">
        <v>1.63</v>
      </c>
      <c r="AC1036">
        <v>1.37</v>
      </c>
      <c r="AD1036">
        <v>4.99</v>
      </c>
      <c r="AE1036">
        <v>2.56</v>
      </c>
      <c r="AF1036">
        <v>2.7</v>
      </c>
      <c r="AG1036" t="str">
        <f>HYPERLINK("https://finance.naver.com/item/fchart.naver?code=051500", "CJ프레시웨이 차트보기")</f>
        <v>CJ프레시웨이 차트보기</v>
      </c>
    </row>
    <row r="1037" spans="1:33" x14ac:dyDescent="0.3">
      <c r="A1037" t="s">
        <v>4175</v>
      </c>
      <c r="B1037" t="s">
        <v>34</v>
      </c>
      <c r="C1037" t="s">
        <v>4176</v>
      </c>
      <c r="D1037">
        <v>20209.759999999998</v>
      </c>
      <c r="E1037" t="s">
        <v>4177</v>
      </c>
      <c r="F1037">
        <v>5.8</v>
      </c>
      <c r="G1037">
        <v>0.17000000178813929</v>
      </c>
      <c r="H1037">
        <v>361</v>
      </c>
      <c r="I1037">
        <v>1.429999947547913</v>
      </c>
      <c r="J1037" t="s">
        <v>4178</v>
      </c>
      <c r="K1037">
        <v>2410</v>
      </c>
      <c r="L1037">
        <v>2095</v>
      </c>
      <c r="M1037">
        <v>-13.07</v>
      </c>
      <c r="N1037">
        <v>0.72</v>
      </c>
      <c r="O1037">
        <v>0.94</v>
      </c>
      <c r="P1037">
        <v>1.18</v>
      </c>
      <c r="Q1037">
        <v>-6.01</v>
      </c>
      <c r="R1037">
        <v>-6.95</v>
      </c>
      <c r="S1037">
        <v>1.07</v>
      </c>
      <c r="T1037">
        <v>1.7</v>
      </c>
      <c r="U1037">
        <v>0.77</v>
      </c>
      <c r="V1037">
        <v>1.1399999999999999</v>
      </c>
      <c r="W1037">
        <v>2.29</v>
      </c>
      <c r="X1037">
        <v>0.74</v>
      </c>
      <c r="Y1037">
        <v>0.71</v>
      </c>
      <c r="Z1037">
        <v>0.42</v>
      </c>
      <c r="AA1037">
        <v>1.22</v>
      </c>
      <c r="AB1037">
        <v>1.04</v>
      </c>
      <c r="AC1037">
        <v>2.62</v>
      </c>
      <c r="AD1037">
        <v>9.39</v>
      </c>
      <c r="AE1037">
        <v>1.51</v>
      </c>
      <c r="AF1037">
        <v>2.7000000000000011</v>
      </c>
      <c r="AG1037" t="str">
        <f>HYPERLINK("https://finance.naver.com/item/fchart.naver?code=067830", "세이브존I&amp;C 차트보기")</f>
        <v>세이브존I&amp;C 차트보기</v>
      </c>
    </row>
    <row r="1038" spans="1:33" x14ac:dyDescent="0.3">
      <c r="A1038" t="s">
        <v>4179</v>
      </c>
      <c r="B1038" t="s">
        <v>34</v>
      </c>
      <c r="C1038" t="s">
        <v>4180</v>
      </c>
      <c r="D1038">
        <v>96675.05</v>
      </c>
      <c r="E1038" t="s">
        <v>4181</v>
      </c>
      <c r="F1038">
        <v>0</v>
      </c>
      <c r="G1038">
        <v>0.82999998331069946</v>
      </c>
      <c r="H1038">
        <v>0</v>
      </c>
      <c r="I1038">
        <v>0</v>
      </c>
      <c r="J1038" t="s">
        <v>4182</v>
      </c>
      <c r="K1038">
        <v>63700</v>
      </c>
      <c r="L1038">
        <v>50600</v>
      </c>
      <c r="M1038">
        <v>-20.57</v>
      </c>
      <c r="N1038">
        <v>-8.83</v>
      </c>
      <c r="O1038">
        <v>-1.02</v>
      </c>
      <c r="P1038">
        <v>2.23</v>
      </c>
      <c r="Q1038">
        <v>-3.79</v>
      </c>
      <c r="R1038">
        <v>15.09</v>
      </c>
      <c r="S1038">
        <v>-11.24</v>
      </c>
      <c r="T1038">
        <v>2.39</v>
      </c>
      <c r="U1038">
        <v>2.34</v>
      </c>
      <c r="V1038">
        <v>2.78</v>
      </c>
      <c r="W1038">
        <v>4</v>
      </c>
      <c r="X1038">
        <v>2.71</v>
      </c>
      <c r="Y1038">
        <v>2.36</v>
      </c>
      <c r="Z1038">
        <v>3.69</v>
      </c>
      <c r="AA1038">
        <v>0.44</v>
      </c>
      <c r="AB1038">
        <v>0.8</v>
      </c>
      <c r="AC1038">
        <v>0.95</v>
      </c>
      <c r="AD1038">
        <v>5.57</v>
      </c>
      <c r="AE1038">
        <v>4.76</v>
      </c>
      <c r="AF1038">
        <v>2.7016666666666671</v>
      </c>
      <c r="AG1038" t="str">
        <f>HYPERLINK("https://finance.naver.com/item/fchart.naver?code=251270", "넷마블 차트보기")</f>
        <v>넷마블 차트보기</v>
      </c>
    </row>
    <row r="1039" spans="1:33" x14ac:dyDescent="0.3">
      <c r="A1039" t="s">
        <v>4183</v>
      </c>
      <c r="B1039" t="s">
        <v>55</v>
      </c>
      <c r="C1039" t="s">
        <v>4184</v>
      </c>
      <c r="D1039">
        <v>40237.14</v>
      </c>
      <c r="E1039" t="s">
        <v>4185</v>
      </c>
      <c r="F1039">
        <v>0</v>
      </c>
      <c r="G1039">
        <v>1.2899999618530269</v>
      </c>
      <c r="H1039">
        <v>0</v>
      </c>
      <c r="I1039">
        <v>0</v>
      </c>
      <c r="J1039" t="s">
        <v>4186</v>
      </c>
      <c r="K1039">
        <v>3015</v>
      </c>
      <c r="L1039">
        <v>3025</v>
      </c>
      <c r="M1039">
        <v>0.33</v>
      </c>
      <c r="N1039">
        <v>5.22</v>
      </c>
      <c r="O1039">
        <v>-4.46</v>
      </c>
      <c r="P1039">
        <v>-11.48</v>
      </c>
      <c r="Q1039">
        <v>3.41</v>
      </c>
      <c r="R1039">
        <v>20.54</v>
      </c>
      <c r="S1039">
        <v>-1.77</v>
      </c>
      <c r="T1039">
        <v>1.54</v>
      </c>
      <c r="U1039">
        <v>2.64</v>
      </c>
      <c r="V1039">
        <v>3.12</v>
      </c>
      <c r="W1039">
        <v>6.85</v>
      </c>
      <c r="X1039">
        <v>3.21</v>
      </c>
      <c r="Y1039">
        <v>3.2</v>
      </c>
      <c r="Z1039">
        <v>3.39</v>
      </c>
      <c r="AA1039">
        <v>1.69</v>
      </c>
      <c r="AB1039">
        <v>3.68</v>
      </c>
      <c r="AC1039">
        <v>0.5</v>
      </c>
      <c r="AD1039">
        <v>6.4</v>
      </c>
      <c r="AE1039">
        <v>0.55000000000000004</v>
      </c>
      <c r="AF1039">
        <v>2.7016666666666671</v>
      </c>
      <c r="AG1039" t="str">
        <f>HYPERLINK("https://finance.naver.com/item/fchart.naver?code=185490", "아이진 차트보기")</f>
        <v>아이진 차트보기</v>
      </c>
    </row>
    <row r="1040" spans="1:33" x14ac:dyDescent="0.3">
      <c r="A1040" t="s">
        <v>4187</v>
      </c>
      <c r="B1040" t="s">
        <v>55</v>
      </c>
      <c r="C1040" t="s">
        <v>4188</v>
      </c>
      <c r="D1040">
        <v>67205.05</v>
      </c>
      <c r="E1040" t="s">
        <v>4189</v>
      </c>
      <c r="F1040">
        <v>13.15</v>
      </c>
      <c r="G1040">
        <v>3.3299999237060551</v>
      </c>
      <c r="H1040">
        <v>6874</v>
      </c>
      <c r="I1040">
        <v>0.93999999761581421</v>
      </c>
      <c r="J1040" t="s">
        <v>4190</v>
      </c>
      <c r="K1040">
        <v>110000</v>
      </c>
      <c r="L1040">
        <v>90400</v>
      </c>
      <c r="M1040">
        <v>-17.82</v>
      </c>
      <c r="N1040">
        <v>-4.34</v>
      </c>
      <c r="O1040">
        <v>-3.13</v>
      </c>
      <c r="P1040">
        <v>-4.2</v>
      </c>
      <c r="Q1040">
        <v>3.95</v>
      </c>
      <c r="R1040">
        <v>-24.45</v>
      </c>
      <c r="S1040">
        <v>23.4</v>
      </c>
      <c r="T1040">
        <v>3.13</v>
      </c>
      <c r="U1040">
        <v>2.2999999999999998</v>
      </c>
      <c r="V1040">
        <v>2.31</v>
      </c>
      <c r="W1040">
        <v>4.0599999999999996</v>
      </c>
      <c r="X1040">
        <v>4.26</v>
      </c>
      <c r="Y1040">
        <v>4.75</v>
      </c>
      <c r="Z1040">
        <v>1.39</v>
      </c>
      <c r="AA1040">
        <v>1.36</v>
      </c>
      <c r="AB1040">
        <v>1.82</v>
      </c>
      <c r="AC1040">
        <v>0.97</v>
      </c>
      <c r="AD1040">
        <v>5.74</v>
      </c>
      <c r="AE1040">
        <v>4.93</v>
      </c>
      <c r="AF1040">
        <v>2.7016666666666671</v>
      </c>
      <c r="AG1040" t="str">
        <f>HYPERLINK("https://finance.naver.com/item/fchart.naver?code=067160", "SOOP 차트보기")</f>
        <v>SOOP 차트보기</v>
      </c>
    </row>
    <row r="1041" spans="1:33" x14ac:dyDescent="0.3">
      <c r="A1041" t="s">
        <v>4191</v>
      </c>
      <c r="B1041" t="s">
        <v>55</v>
      </c>
      <c r="C1041" t="s">
        <v>4192</v>
      </c>
      <c r="D1041">
        <v>94435</v>
      </c>
      <c r="E1041" t="s">
        <v>4193</v>
      </c>
      <c r="F1041">
        <v>0</v>
      </c>
      <c r="G1041">
        <v>1.4900000095367429</v>
      </c>
      <c r="H1041">
        <v>0</v>
      </c>
      <c r="I1041">
        <v>0</v>
      </c>
      <c r="J1041" t="s">
        <v>4194</v>
      </c>
      <c r="K1041">
        <v>804</v>
      </c>
      <c r="L1041">
        <v>449</v>
      </c>
      <c r="M1041">
        <v>-44.15</v>
      </c>
      <c r="N1041">
        <v>1.58</v>
      </c>
      <c r="O1041">
        <v>-18.79</v>
      </c>
      <c r="P1041">
        <v>0.51</v>
      </c>
      <c r="Q1041">
        <v>2.17</v>
      </c>
      <c r="R1041">
        <v>-6.72</v>
      </c>
      <c r="S1041">
        <v>-11.7</v>
      </c>
      <c r="T1041">
        <v>4.7</v>
      </c>
      <c r="U1041">
        <v>1.99</v>
      </c>
      <c r="V1041">
        <v>2.69</v>
      </c>
      <c r="W1041">
        <v>3.47</v>
      </c>
      <c r="X1041">
        <v>3.02</v>
      </c>
      <c r="Y1041">
        <v>3.45</v>
      </c>
      <c r="Z1041">
        <v>0.34</v>
      </c>
      <c r="AA1041">
        <v>9.44</v>
      </c>
      <c r="AB1041">
        <v>0.19</v>
      </c>
      <c r="AC1041">
        <v>0.63</v>
      </c>
      <c r="AD1041">
        <v>2.23</v>
      </c>
      <c r="AE1041">
        <v>3.39</v>
      </c>
      <c r="AF1041">
        <v>2.7033333333333331</v>
      </c>
      <c r="AG1041" t="str">
        <f>HYPERLINK("https://finance.naver.com/item/fchart.naver?code=019660", "글로본 차트보기")</f>
        <v>글로본 차트보기</v>
      </c>
    </row>
    <row r="1042" spans="1:33" x14ac:dyDescent="0.3">
      <c r="A1042" t="s">
        <v>4195</v>
      </c>
      <c r="B1042" t="s">
        <v>55</v>
      </c>
      <c r="C1042" t="s">
        <v>4196</v>
      </c>
      <c r="D1042">
        <v>74958.95</v>
      </c>
      <c r="E1042" t="s">
        <v>4197</v>
      </c>
      <c r="F1042">
        <v>8.16</v>
      </c>
      <c r="G1042">
        <v>1.0099999904632571</v>
      </c>
      <c r="H1042">
        <v>1171</v>
      </c>
      <c r="I1042">
        <v>0</v>
      </c>
      <c r="J1042" t="s">
        <v>4198</v>
      </c>
      <c r="K1042">
        <v>16050</v>
      </c>
      <c r="L1042">
        <v>9550</v>
      </c>
      <c r="M1042">
        <v>-40.5</v>
      </c>
      <c r="N1042">
        <v>-4.0199999999999996</v>
      </c>
      <c r="O1042">
        <v>-9.25</v>
      </c>
      <c r="P1042">
        <v>-7.51</v>
      </c>
      <c r="Q1042">
        <v>-3.93</v>
      </c>
      <c r="R1042">
        <v>-21.2</v>
      </c>
      <c r="S1042">
        <v>-0.63</v>
      </c>
      <c r="T1042">
        <v>2.39</v>
      </c>
      <c r="U1042">
        <v>1.88</v>
      </c>
      <c r="V1042">
        <v>2.93</v>
      </c>
      <c r="W1042">
        <v>4.4800000000000004</v>
      </c>
      <c r="X1042">
        <v>3.53</v>
      </c>
      <c r="Y1042">
        <v>3.78</v>
      </c>
      <c r="Z1042">
        <v>1.68</v>
      </c>
      <c r="AA1042">
        <v>4.92</v>
      </c>
      <c r="AB1042">
        <v>2.56</v>
      </c>
      <c r="AC1042">
        <v>0.88</v>
      </c>
      <c r="AD1042">
        <v>6.01</v>
      </c>
      <c r="AE1042">
        <v>0.17</v>
      </c>
      <c r="AF1042">
        <v>2.703333333333334</v>
      </c>
      <c r="AG1042" t="str">
        <f>HYPERLINK("https://finance.naver.com/item/fchart.naver?code=051370", "인터플렉스 차트보기")</f>
        <v>인터플렉스 차트보기</v>
      </c>
    </row>
    <row r="1043" spans="1:33" x14ac:dyDescent="0.3">
      <c r="A1043" t="s">
        <v>4199</v>
      </c>
      <c r="B1043" t="s">
        <v>55</v>
      </c>
      <c r="C1043" t="s">
        <v>4200</v>
      </c>
      <c r="D1043">
        <v>1177347.81</v>
      </c>
      <c r="E1043" t="s">
        <v>4201</v>
      </c>
      <c r="F1043">
        <v>15.31</v>
      </c>
      <c r="G1043">
        <v>0.88999998569488525</v>
      </c>
      <c r="H1043">
        <v>98</v>
      </c>
      <c r="I1043">
        <v>0</v>
      </c>
      <c r="J1043" t="s">
        <v>4202</v>
      </c>
      <c r="K1043">
        <v>1628</v>
      </c>
      <c r="L1043">
        <v>1500</v>
      </c>
      <c r="M1043">
        <v>-7.86</v>
      </c>
      <c r="N1043">
        <v>1.35</v>
      </c>
      <c r="O1043">
        <v>-6.17</v>
      </c>
      <c r="P1043">
        <v>24.84</v>
      </c>
      <c r="Q1043">
        <v>-9.2899999999999991</v>
      </c>
      <c r="R1043">
        <v>-0.64</v>
      </c>
      <c r="S1043">
        <v>-9.67</v>
      </c>
      <c r="T1043">
        <v>1.1399999999999999</v>
      </c>
      <c r="U1043">
        <v>2.69</v>
      </c>
      <c r="V1043">
        <v>9.64</v>
      </c>
      <c r="W1043">
        <v>4.3499999999999996</v>
      </c>
      <c r="X1043">
        <v>1.73</v>
      </c>
      <c r="Y1043">
        <v>1.26</v>
      </c>
      <c r="Z1043">
        <v>1.18</v>
      </c>
      <c r="AA1043">
        <v>2.29</v>
      </c>
      <c r="AB1043">
        <v>2.58</v>
      </c>
      <c r="AC1043">
        <v>2.14</v>
      </c>
      <c r="AD1043">
        <v>0.37</v>
      </c>
      <c r="AE1043">
        <v>7.67</v>
      </c>
      <c r="AF1043">
        <v>2.7050000000000001</v>
      </c>
      <c r="AG1043" t="str">
        <f>HYPERLINK("https://finance.naver.com/item/fchart.naver?code=047770", "코데즈컴바인 차트보기")</f>
        <v>코데즈컴바인 차트보기</v>
      </c>
    </row>
    <row r="1044" spans="1:33" x14ac:dyDescent="0.3">
      <c r="A1044" t="s">
        <v>4203</v>
      </c>
      <c r="B1044" t="s">
        <v>55</v>
      </c>
      <c r="C1044" t="s">
        <v>4204</v>
      </c>
      <c r="D1044">
        <v>433868.1</v>
      </c>
      <c r="E1044" t="s">
        <v>4205</v>
      </c>
      <c r="F1044">
        <v>39.26</v>
      </c>
      <c r="G1044">
        <v>2.119999885559082</v>
      </c>
      <c r="H1044">
        <v>54</v>
      </c>
      <c r="I1044">
        <v>0</v>
      </c>
      <c r="J1044" t="s">
        <v>4206</v>
      </c>
      <c r="K1044">
        <v>2665</v>
      </c>
      <c r="L1044">
        <v>2120</v>
      </c>
      <c r="M1044">
        <v>-20.45</v>
      </c>
      <c r="N1044">
        <v>0.95</v>
      </c>
      <c r="O1044">
        <v>2.17</v>
      </c>
      <c r="P1044">
        <v>1.46</v>
      </c>
      <c r="Q1044">
        <v>-11.13</v>
      </c>
      <c r="R1044">
        <v>-11.85</v>
      </c>
      <c r="S1044">
        <v>-12.35</v>
      </c>
      <c r="T1044">
        <v>2.2599999999999998</v>
      </c>
      <c r="U1044">
        <v>2.62</v>
      </c>
      <c r="V1044">
        <v>2.04</v>
      </c>
      <c r="W1044">
        <v>3.92</v>
      </c>
      <c r="X1044">
        <v>2.0299999999999998</v>
      </c>
      <c r="Y1044">
        <v>2.21</v>
      </c>
      <c r="Z1044">
        <v>0.42</v>
      </c>
      <c r="AA1044">
        <v>0.83</v>
      </c>
      <c r="AB1044">
        <v>0.72</v>
      </c>
      <c r="AC1044">
        <v>2.84</v>
      </c>
      <c r="AD1044">
        <v>5.84</v>
      </c>
      <c r="AE1044">
        <v>5.59</v>
      </c>
      <c r="AF1044">
        <v>2.706666666666667</v>
      </c>
      <c r="AG1044" t="str">
        <f>HYPERLINK("https://finance.naver.com/item/fchart.naver?code=060310", "3S 차트보기")</f>
        <v>3S 차트보기</v>
      </c>
    </row>
    <row r="1045" spans="1:33" x14ac:dyDescent="0.3">
      <c r="A1045" t="s">
        <v>4207</v>
      </c>
      <c r="B1045" t="s">
        <v>55</v>
      </c>
      <c r="C1045" t="s">
        <v>4208</v>
      </c>
      <c r="D1045">
        <v>4736.76</v>
      </c>
      <c r="E1045" t="s">
        <v>4209</v>
      </c>
      <c r="F1045">
        <v>6.08</v>
      </c>
      <c r="G1045">
        <v>0.37999999523162842</v>
      </c>
      <c r="H1045">
        <v>909</v>
      </c>
      <c r="I1045">
        <v>9.0399999618530273</v>
      </c>
      <c r="J1045" t="s">
        <v>4210</v>
      </c>
      <c r="K1045">
        <v>5520</v>
      </c>
      <c r="L1045">
        <v>5530</v>
      </c>
      <c r="M1045">
        <v>0.18</v>
      </c>
      <c r="N1045">
        <v>-1.07</v>
      </c>
      <c r="O1045">
        <v>-0.7</v>
      </c>
      <c r="P1045">
        <v>0.88</v>
      </c>
      <c r="Q1045">
        <v>-4.3600000000000003</v>
      </c>
      <c r="R1045">
        <v>-14.43</v>
      </c>
      <c r="S1045">
        <v>20.91</v>
      </c>
      <c r="T1045">
        <v>1.17</v>
      </c>
      <c r="U1045">
        <v>1.1100000000000001</v>
      </c>
      <c r="V1045">
        <v>3.19</v>
      </c>
      <c r="W1045">
        <v>2.5</v>
      </c>
      <c r="X1045">
        <v>3.11</v>
      </c>
      <c r="Y1045">
        <v>2.6</v>
      </c>
      <c r="Z1045">
        <v>0.91</v>
      </c>
      <c r="AA1045">
        <v>0.63</v>
      </c>
      <c r="AB1045">
        <v>0.28000000000000003</v>
      </c>
      <c r="AC1045">
        <v>1.74</v>
      </c>
      <c r="AD1045">
        <v>4.6399999999999997</v>
      </c>
      <c r="AE1045">
        <v>8.0399999999999991</v>
      </c>
      <c r="AF1045">
        <v>2.706666666666667</v>
      </c>
      <c r="AG1045" t="str">
        <f>HYPERLINK("https://finance.naver.com/item/fchart.naver?code=190650", "코리아에셋투자증권 차트보기")</f>
        <v>코리아에셋투자증권 차트보기</v>
      </c>
    </row>
    <row r="1046" spans="1:33" x14ac:dyDescent="0.3">
      <c r="A1046" t="s">
        <v>4211</v>
      </c>
      <c r="B1046" t="s">
        <v>34</v>
      </c>
      <c r="C1046" t="s">
        <v>4212</v>
      </c>
      <c r="D1046">
        <v>343578.43</v>
      </c>
      <c r="E1046" t="s">
        <v>4213</v>
      </c>
      <c r="F1046">
        <v>5.33</v>
      </c>
      <c r="G1046">
        <v>0.75999999046325684</v>
      </c>
      <c r="H1046">
        <v>2863</v>
      </c>
      <c r="I1046">
        <v>1.639999985694885</v>
      </c>
      <c r="J1046" t="s">
        <v>4214</v>
      </c>
      <c r="K1046">
        <v>23400</v>
      </c>
      <c r="L1046">
        <v>15250</v>
      </c>
      <c r="M1046">
        <v>-34.83</v>
      </c>
      <c r="N1046">
        <v>-7.24</v>
      </c>
      <c r="O1046">
        <v>-3.18</v>
      </c>
      <c r="P1046">
        <v>-23.4</v>
      </c>
      <c r="Q1046">
        <v>10.67</v>
      </c>
      <c r="R1046">
        <v>-8.6300000000000008</v>
      </c>
      <c r="S1046">
        <v>-1.83</v>
      </c>
      <c r="T1046">
        <v>1.47</v>
      </c>
      <c r="U1046">
        <v>2.76</v>
      </c>
      <c r="V1046">
        <v>4.4800000000000004</v>
      </c>
      <c r="W1046">
        <v>4.92</v>
      </c>
      <c r="X1046">
        <v>3.63</v>
      </c>
      <c r="Y1046">
        <v>4.6500000000000004</v>
      </c>
      <c r="Z1046">
        <v>4.93</v>
      </c>
      <c r="AA1046">
        <v>1.1499999999999999</v>
      </c>
      <c r="AB1046">
        <v>5.22</v>
      </c>
      <c r="AC1046">
        <v>2.17</v>
      </c>
      <c r="AD1046">
        <v>2.38</v>
      </c>
      <c r="AE1046">
        <v>0.39</v>
      </c>
      <c r="AF1046">
        <v>2.706666666666667</v>
      </c>
      <c r="AG1046" t="str">
        <f>HYPERLINK("https://finance.naver.com/item/fchart.naver?code=090460", "비에이치 차트보기")</f>
        <v>비에이치 차트보기</v>
      </c>
    </row>
    <row r="1047" spans="1:33" x14ac:dyDescent="0.3">
      <c r="A1047" t="s">
        <v>4215</v>
      </c>
      <c r="B1047" t="s">
        <v>55</v>
      </c>
      <c r="C1047" t="s">
        <v>4216</v>
      </c>
      <c r="D1047">
        <v>6909.24</v>
      </c>
      <c r="E1047" t="s">
        <v>4217</v>
      </c>
      <c r="F1047">
        <v>14.55</v>
      </c>
      <c r="G1047">
        <v>0.55000001192092896</v>
      </c>
      <c r="H1047">
        <v>137</v>
      </c>
      <c r="I1047">
        <v>2.0099999904632568</v>
      </c>
      <c r="J1047" t="s">
        <v>4218</v>
      </c>
      <c r="K1047">
        <v>2045</v>
      </c>
      <c r="L1047">
        <v>1994</v>
      </c>
      <c r="M1047">
        <v>-2.4900000000000002</v>
      </c>
      <c r="N1047">
        <v>0.1</v>
      </c>
      <c r="O1047">
        <v>5.56</v>
      </c>
      <c r="P1047">
        <v>-2.73</v>
      </c>
      <c r="Q1047">
        <v>-4.8</v>
      </c>
      <c r="R1047">
        <v>-1.34</v>
      </c>
      <c r="S1047">
        <v>0.9</v>
      </c>
      <c r="T1047">
        <v>0.09</v>
      </c>
      <c r="U1047">
        <v>0.64</v>
      </c>
      <c r="V1047">
        <v>0.94</v>
      </c>
      <c r="W1047">
        <v>2.66</v>
      </c>
      <c r="X1047">
        <v>0.95</v>
      </c>
      <c r="Y1047">
        <v>2.67</v>
      </c>
      <c r="Z1047">
        <v>1.1100000000000001</v>
      </c>
      <c r="AA1047">
        <v>8.69</v>
      </c>
      <c r="AB1047">
        <v>2.9</v>
      </c>
      <c r="AC1047">
        <v>1.8</v>
      </c>
      <c r="AD1047">
        <v>1.41</v>
      </c>
      <c r="AE1047">
        <v>0.34</v>
      </c>
      <c r="AF1047">
        <v>2.708333333333333</v>
      </c>
      <c r="AG1047" t="str">
        <f>HYPERLINK("https://finance.naver.com/item/fchart.naver?code=037230", "한국팩키지 차트보기")</f>
        <v>한국팩키지 차트보기</v>
      </c>
    </row>
    <row r="1048" spans="1:33" x14ac:dyDescent="0.3">
      <c r="A1048" t="s">
        <v>4219</v>
      </c>
      <c r="B1048" t="s">
        <v>55</v>
      </c>
      <c r="C1048" t="s">
        <v>4220</v>
      </c>
      <c r="D1048">
        <v>12353.95</v>
      </c>
      <c r="E1048" t="s">
        <v>4221</v>
      </c>
      <c r="F1048">
        <v>6.39</v>
      </c>
      <c r="G1048">
        <v>0.31999999284744263</v>
      </c>
      <c r="H1048">
        <v>1340</v>
      </c>
      <c r="I1048">
        <v>7.5900001525878906</v>
      </c>
      <c r="J1048" t="s">
        <v>4222</v>
      </c>
      <c r="K1048">
        <v>9150</v>
      </c>
      <c r="L1048">
        <v>8560</v>
      </c>
      <c r="M1048">
        <v>-6.45</v>
      </c>
      <c r="N1048">
        <v>-2.95</v>
      </c>
      <c r="O1048">
        <v>0.11</v>
      </c>
      <c r="P1048">
        <v>1.95</v>
      </c>
      <c r="Q1048">
        <v>0</v>
      </c>
      <c r="R1048">
        <v>-0.23</v>
      </c>
      <c r="S1048">
        <v>-5.65</v>
      </c>
      <c r="T1048">
        <v>0.59</v>
      </c>
      <c r="U1048">
        <v>0.45</v>
      </c>
      <c r="V1048">
        <v>0.8</v>
      </c>
      <c r="W1048">
        <v>1.64</v>
      </c>
      <c r="X1048">
        <v>0.38</v>
      </c>
      <c r="Y1048">
        <v>0.71</v>
      </c>
      <c r="Z1048">
        <v>5</v>
      </c>
      <c r="AA1048">
        <v>0.24</v>
      </c>
      <c r="AB1048">
        <v>2.44</v>
      </c>
      <c r="AC1048">
        <v>0</v>
      </c>
      <c r="AD1048">
        <v>0.61</v>
      </c>
      <c r="AE1048">
        <v>7.96</v>
      </c>
      <c r="AF1048">
        <v>2.708333333333333</v>
      </c>
      <c r="AG1048" t="str">
        <f>HYPERLINK("https://finance.naver.com/item/fchart.naver?code=007330", "푸른저축은행 차트보기")</f>
        <v>푸른저축은행 차트보기</v>
      </c>
    </row>
    <row r="1049" spans="1:33" x14ac:dyDescent="0.3">
      <c r="A1049" t="s">
        <v>4223</v>
      </c>
      <c r="B1049" t="s">
        <v>55</v>
      </c>
      <c r="C1049" t="s">
        <v>4224</v>
      </c>
      <c r="D1049">
        <v>124298.33</v>
      </c>
      <c r="E1049" t="s">
        <v>4225</v>
      </c>
      <c r="F1049">
        <v>5.48</v>
      </c>
      <c r="G1049">
        <v>1.049999952316284</v>
      </c>
      <c r="H1049">
        <v>1144</v>
      </c>
      <c r="I1049">
        <v>2.3900001049041748</v>
      </c>
      <c r="J1049" t="s">
        <v>4226</v>
      </c>
      <c r="K1049">
        <v>5590</v>
      </c>
      <c r="L1049">
        <v>6270</v>
      </c>
      <c r="M1049">
        <v>12.16</v>
      </c>
      <c r="N1049">
        <v>-0.63</v>
      </c>
      <c r="O1049">
        <v>-4.55</v>
      </c>
      <c r="P1049">
        <v>7.53</v>
      </c>
      <c r="Q1049">
        <v>3.98</v>
      </c>
      <c r="R1049">
        <v>-9.1199999999999992</v>
      </c>
      <c r="S1049">
        <v>8.51</v>
      </c>
      <c r="T1049">
        <v>2.4</v>
      </c>
      <c r="U1049">
        <v>3.1</v>
      </c>
      <c r="V1049">
        <v>2.4300000000000002</v>
      </c>
      <c r="W1049">
        <v>3.24</v>
      </c>
      <c r="X1049">
        <v>1.51</v>
      </c>
      <c r="Y1049">
        <v>2.0499999999999998</v>
      </c>
      <c r="Z1049">
        <v>0.26</v>
      </c>
      <c r="AA1049">
        <v>1.47</v>
      </c>
      <c r="AB1049">
        <v>3.1</v>
      </c>
      <c r="AC1049">
        <v>1.23</v>
      </c>
      <c r="AD1049">
        <v>6.04</v>
      </c>
      <c r="AE1049">
        <v>4.1500000000000004</v>
      </c>
      <c r="AF1049">
        <v>2.708333333333333</v>
      </c>
      <c r="AG1049" t="str">
        <f>HYPERLINK("https://finance.naver.com/item/fchart.naver?code=058630", "엠게임 차트보기")</f>
        <v>엠게임 차트보기</v>
      </c>
    </row>
    <row r="1050" spans="1:33" x14ac:dyDescent="0.3">
      <c r="A1050" t="s">
        <v>4227</v>
      </c>
      <c r="B1050" t="s">
        <v>55</v>
      </c>
      <c r="C1050" t="s">
        <v>4228</v>
      </c>
      <c r="D1050">
        <v>268426.86</v>
      </c>
      <c r="E1050" t="s">
        <v>4229</v>
      </c>
      <c r="F1050">
        <v>0</v>
      </c>
      <c r="G1050">
        <v>2.8299999237060551</v>
      </c>
      <c r="H1050">
        <v>0</v>
      </c>
      <c r="I1050">
        <v>0</v>
      </c>
      <c r="J1050" t="s">
        <v>4230</v>
      </c>
      <c r="K1050">
        <v>4230</v>
      </c>
      <c r="L1050">
        <v>4680</v>
      </c>
      <c r="M1050">
        <v>10.64</v>
      </c>
      <c r="N1050">
        <v>-6.59</v>
      </c>
      <c r="O1050">
        <v>11.19</v>
      </c>
      <c r="P1050">
        <v>2.4</v>
      </c>
      <c r="Q1050">
        <v>6.55</v>
      </c>
      <c r="R1050">
        <v>14.71</v>
      </c>
      <c r="S1050">
        <v>-15.48</v>
      </c>
      <c r="T1050">
        <v>3.14</v>
      </c>
      <c r="U1050">
        <v>4.09</v>
      </c>
      <c r="V1050">
        <v>4.5</v>
      </c>
      <c r="W1050">
        <v>4.7699999999999996</v>
      </c>
      <c r="X1050">
        <v>5.17</v>
      </c>
      <c r="Y1050">
        <v>2.3199999999999998</v>
      </c>
      <c r="Z1050">
        <v>2.1</v>
      </c>
      <c r="AA1050">
        <v>2.74</v>
      </c>
      <c r="AB1050">
        <v>0.53</v>
      </c>
      <c r="AC1050">
        <v>1.37</v>
      </c>
      <c r="AD1050">
        <v>2.85</v>
      </c>
      <c r="AE1050">
        <v>6.67</v>
      </c>
      <c r="AF1050">
        <v>2.71</v>
      </c>
      <c r="AG1050" t="str">
        <f>HYPERLINK("https://finance.naver.com/item/fchart.naver?code=115180", "큐리언트 차트보기")</f>
        <v>큐리언트 차트보기</v>
      </c>
    </row>
    <row r="1051" spans="1:33" x14ac:dyDescent="0.3">
      <c r="A1051" t="s">
        <v>4231</v>
      </c>
      <c r="B1051" t="s">
        <v>55</v>
      </c>
      <c r="C1051" t="s">
        <v>4232</v>
      </c>
      <c r="D1051">
        <v>22522.48</v>
      </c>
      <c r="E1051" t="s">
        <v>4233</v>
      </c>
      <c r="F1051">
        <v>2.21</v>
      </c>
      <c r="G1051">
        <v>0.30000001192092901</v>
      </c>
      <c r="H1051">
        <v>759</v>
      </c>
      <c r="I1051">
        <v>0</v>
      </c>
      <c r="J1051" t="s">
        <v>4234</v>
      </c>
      <c r="K1051">
        <v>2000</v>
      </c>
      <c r="L1051">
        <v>1676</v>
      </c>
      <c r="M1051">
        <v>-16.2</v>
      </c>
      <c r="N1051">
        <v>0.18</v>
      </c>
      <c r="O1051">
        <v>6.58</v>
      </c>
      <c r="P1051">
        <v>0.31</v>
      </c>
      <c r="Q1051">
        <v>-12.78</v>
      </c>
      <c r="R1051">
        <v>-6.95</v>
      </c>
      <c r="S1051">
        <v>-1.52</v>
      </c>
      <c r="T1051">
        <v>1.89</v>
      </c>
      <c r="U1051">
        <v>1.76</v>
      </c>
      <c r="V1051">
        <v>1.99</v>
      </c>
      <c r="W1051">
        <v>3.35</v>
      </c>
      <c r="X1051">
        <v>1.04</v>
      </c>
      <c r="Y1051">
        <v>0.86</v>
      </c>
      <c r="Z1051">
        <v>0.1</v>
      </c>
      <c r="AA1051">
        <v>3.74</v>
      </c>
      <c r="AB1051">
        <v>0.16</v>
      </c>
      <c r="AC1051">
        <v>3.81</v>
      </c>
      <c r="AD1051">
        <v>6.68</v>
      </c>
      <c r="AE1051">
        <v>1.77</v>
      </c>
      <c r="AF1051">
        <v>2.71</v>
      </c>
      <c r="AG1051" t="str">
        <f>HYPERLINK("https://finance.naver.com/item/fchart.naver?code=039310", "세중 차트보기")</f>
        <v>세중 차트보기</v>
      </c>
    </row>
    <row r="1052" spans="1:33" x14ac:dyDescent="0.3">
      <c r="A1052" t="s">
        <v>4235</v>
      </c>
      <c r="B1052" t="s">
        <v>55</v>
      </c>
      <c r="C1052" t="s">
        <v>4236</v>
      </c>
      <c r="D1052">
        <v>4542.38</v>
      </c>
      <c r="E1052" t="s">
        <v>4237</v>
      </c>
      <c r="F1052">
        <v>69.84</v>
      </c>
      <c r="G1052">
        <v>6.7100000381469727</v>
      </c>
      <c r="H1052">
        <v>635</v>
      </c>
      <c r="I1052">
        <v>0</v>
      </c>
      <c r="J1052" t="s">
        <v>4238</v>
      </c>
      <c r="K1052">
        <v>59900</v>
      </c>
      <c r="L1052">
        <v>44350</v>
      </c>
      <c r="M1052">
        <v>-25.96</v>
      </c>
      <c r="N1052">
        <v>-1</v>
      </c>
      <c r="O1052">
        <v>-4.6500000000000004</v>
      </c>
      <c r="P1052">
        <v>3.61</v>
      </c>
      <c r="Q1052">
        <v>-8.3000000000000007</v>
      </c>
      <c r="R1052">
        <v>-11.36</v>
      </c>
      <c r="S1052">
        <v>-2.66</v>
      </c>
      <c r="T1052">
        <v>2.25</v>
      </c>
      <c r="U1052">
        <v>1.24</v>
      </c>
      <c r="V1052">
        <v>1.57</v>
      </c>
      <c r="W1052">
        <v>3.34</v>
      </c>
      <c r="X1052">
        <v>2</v>
      </c>
      <c r="Y1052">
        <v>1.66</v>
      </c>
      <c r="Z1052">
        <v>0.44</v>
      </c>
      <c r="AA1052">
        <v>3.75</v>
      </c>
      <c r="AB1052">
        <v>2.2999999999999998</v>
      </c>
      <c r="AC1052">
        <v>2.4900000000000002</v>
      </c>
      <c r="AD1052">
        <v>5.68</v>
      </c>
      <c r="AE1052">
        <v>1.6</v>
      </c>
      <c r="AF1052">
        <v>2.71</v>
      </c>
      <c r="AG1052" t="str">
        <f>HYPERLINK("https://finance.naver.com/item/fchart.naver?code=357550", "석경에이티 차트보기")</f>
        <v>석경에이티 차트보기</v>
      </c>
    </row>
    <row r="1053" spans="1:33" x14ac:dyDescent="0.3">
      <c r="A1053" t="s">
        <v>4239</v>
      </c>
      <c r="B1053" t="s">
        <v>55</v>
      </c>
      <c r="C1053" t="s">
        <v>4240</v>
      </c>
      <c r="D1053">
        <v>173600.24</v>
      </c>
      <c r="E1053" t="s">
        <v>4241</v>
      </c>
      <c r="F1053">
        <v>8.06</v>
      </c>
      <c r="G1053">
        <v>0.88999998569488525</v>
      </c>
      <c r="H1053">
        <v>1245</v>
      </c>
      <c r="I1053">
        <v>1.9900000095367429</v>
      </c>
      <c r="J1053" t="s">
        <v>4242</v>
      </c>
      <c r="K1053">
        <v>9460</v>
      </c>
      <c r="L1053">
        <v>10040</v>
      </c>
      <c r="M1053">
        <v>6.13</v>
      </c>
      <c r="N1053">
        <v>2.87</v>
      </c>
      <c r="O1053">
        <v>-1.79</v>
      </c>
      <c r="P1053">
        <v>-7.97</v>
      </c>
      <c r="Q1053">
        <v>6.96</v>
      </c>
      <c r="R1053">
        <v>-17.579999999999998</v>
      </c>
      <c r="S1053">
        <v>8.75</v>
      </c>
      <c r="T1053">
        <v>2.94</v>
      </c>
      <c r="U1053">
        <v>2.64</v>
      </c>
      <c r="V1053">
        <v>2.0499999999999998</v>
      </c>
      <c r="W1053">
        <v>3.69</v>
      </c>
      <c r="X1053">
        <v>2.92</v>
      </c>
      <c r="Y1053">
        <v>3.11</v>
      </c>
      <c r="Z1053">
        <v>0.98</v>
      </c>
      <c r="AA1053">
        <v>0.68</v>
      </c>
      <c r="AB1053">
        <v>3.89</v>
      </c>
      <c r="AC1053">
        <v>1.89</v>
      </c>
      <c r="AD1053">
        <v>6.02</v>
      </c>
      <c r="AE1053">
        <v>2.81</v>
      </c>
      <c r="AF1053">
        <v>2.711666666666666</v>
      </c>
      <c r="AG1053" t="str">
        <f>HYPERLINK("https://finance.naver.com/item/fchart.naver?code=194700", "노바렉스 차트보기")</f>
        <v>노바렉스 차트보기</v>
      </c>
    </row>
    <row r="1054" spans="1:33" x14ac:dyDescent="0.3">
      <c r="A1054" t="s">
        <v>4243</v>
      </c>
      <c r="B1054" t="s">
        <v>55</v>
      </c>
      <c r="C1054" t="s">
        <v>4244</v>
      </c>
      <c r="D1054">
        <v>1062672.33</v>
      </c>
      <c r="E1054" t="s">
        <v>4245</v>
      </c>
      <c r="F1054">
        <v>9.2799999999999994</v>
      </c>
      <c r="G1054">
        <v>1.299999952316284</v>
      </c>
      <c r="H1054">
        <v>429</v>
      </c>
      <c r="I1054">
        <v>0.5</v>
      </c>
      <c r="J1054" t="s">
        <v>4246</v>
      </c>
      <c r="K1054">
        <v>4805</v>
      </c>
      <c r="L1054">
        <v>3980</v>
      </c>
      <c r="M1054">
        <v>-17.170000000000002</v>
      </c>
      <c r="N1054">
        <v>-3.28</v>
      </c>
      <c r="O1054">
        <v>9.49</v>
      </c>
      <c r="P1054">
        <v>-3.15</v>
      </c>
      <c r="Q1054">
        <v>-14.58</v>
      </c>
      <c r="R1054">
        <v>-4.84</v>
      </c>
      <c r="S1054">
        <v>-1.73</v>
      </c>
      <c r="T1054">
        <v>0.92</v>
      </c>
      <c r="U1054">
        <v>2.2799999999999998</v>
      </c>
      <c r="V1054">
        <v>1.77</v>
      </c>
      <c r="W1054">
        <v>3.9</v>
      </c>
      <c r="X1054">
        <v>2.09</v>
      </c>
      <c r="Y1054">
        <v>2.42</v>
      </c>
      <c r="Z1054">
        <v>3.57</v>
      </c>
      <c r="AA1054">
        <v>4.16</v>
      </c>
      <c r="AB1054">
        <v>1.78</v>
      </c>
      <c r="AC1054">
        <v>3.74</v>
      </c>
      <c r="AD1054">
        <v>2.3199999999999998</v>
      </c>
      <c r="AE1054">
        <v>0.71</v>
      </c>
      <c r="AF1054">
        <v>2.7133333333333329</v>
      </c>
      <c r="AG1054" t="str">
        <f>HYPERLINK("https://finance.naver.com/item/fchart.naver?code=059210", "메타바이오메드 차트보기")</f>
        <v>메타바이오메드 차트보기</v>
      </c>
    </row>
    <row r="1055" spans="1:33" x14ac:dyDescent="0.3">
      <c r="A1055" t="s">
        <v>4247</v>
      </c>
      <c r="B1055" t="s">
        <v>55</v>
      </c>
      <c r="C1055" t="s">
        <v>4248</v>
      </c>
      <c r="D1055">
        <v>42219.1</v>
      </c>
      <c r="E1055" t="s">
        <v>4249</v>
      </c>
      <c r="F1055">
        <v>2940</v>
      </c>
      <c r="G1055">
        <v>2.940000057220459</v>
      </c>
      <c r="H1055">
        <v>2</v>
      </c>
      <c r="I1055">
        <v>0</v>
      </c>
      <c r="J1055" t="s">
        <v>4250</v>
      </c>
      <c r="K1055">
        <v>9690</v>
      </c>
      <c r="L1055">
        <v>5880</v>
      </c>
      <c r="M1055">
        <v>-39.32</v>
      </c>
      <c r="N1055">
        <v>-7.26</v>
      </c>
      <c r="O1055">
        <v>-17.559999999999999</v>
      </c>
      <c r="P1055">
        <v>-6.39</v>
      </c>
      <c r="Q1055">
        <v>-6.55</v>
      </c>
      <c r="R1055">
        <v>-10.72</v>
      </c>
      <c r="S1055">
        <v>4.59</v>
      </c>
      <c r="T1055">
        <v>3.66</v>
      </c>
      <c r="U1055">
        <v>2.66</v>
      </c>
      <c r="V1055">
        <v>2.97</v>
      </c>
      <c r="W1055">
        <v>4.5199999999999996</v>
      </c>
      <c r="X1055">
        <v>3.32</v>
      </c>
      <c r="Y1055">
        <v>5.21</v>
      </c>
      <c r="Z1055">
        <v>1.98</v>
      </c>
      <c r="AA1055">
        <v>6.6</v>
      </c>
      <c r="AB1055">
        <v>2.15</v>
      </c>
      <c r="AC1055">
        <v>1.45</v>
      </c>
      <c r="AD1055">
        <v>3.23</v>
      </c>
      <c r="AE1055">
        <v>0.88</v>
      </c>
      <c r="AF1055">
        <v>2.7149999999999999</v>
      </c>
      <c r="AG1055" t="str">
        <f>HYPERLINK("https://finance.naver.com/item/fchart.naver?code=199550", "레이저옵텍 차트보기")</f>
        <v>레이저옵텍 차트보기</v>
      </c>
    </row>
    <row r="1056" spans="1:33" x14ac:dyDescent="0.3">
      <c r="A1056" t="s">
        <v>4251</v>
      </c>
      <c r="B1056" t="s">
        <v>55</v>
      </c>
      <c r="C1056" t="s">
        <v>4252</v>
      </c>
      <c r="D1056">
        <v>12979.76</v>
      </c>
      <c r="E1056" t="s">
        <v>4253</v>
      </c>
      <c r="F1056">
        <v>10.51</v>
      </c>
      <c r="G1056">
        <v>1.279999971389771</v>
      </c>
      <c r="H1056">
        <v>800</v>
      </c>
      <c r="I1056">
        <v>0</v>
      </c>
      <c r="J1056" t="s">
        <v>4254</v>
      </c>
      <c r="K1056">
        <v>11320</v>
      </c>
      <c r="L1056">
        <v>8410</v>
      </c>
      <c r="M1056">
        <v>-25.71</v>
      </c>
      <c r="N1056">
        <v>-5.93</v>
      </c>
      <c r="O1056">
        <v>-10.18</v>
      </c>
      <c r="P1056">
        <v>-4.24</v>
      </c>
      <c r="Q1056">
        <v>9.14</v>
      </c>
      <c r="R1056">
        <v>-10.58</v>
      </c>
      <c r="S1056">
        <v>-2.13</v>
      </c>
      <c r="T1056">
        <v>2.09</v>
      </c>
      <c r="U1056">
        <v>2.17</v>
      </c>
      <c r="V1056">
        <v>3.46</v>
      </c>
      <c r="W1056">
        <v>4.3099999999999996</v>
      </c>
      <c r="X1056">
        <v>2.31</v>
      </c>
      <c r="Y1056">
        <v>2.5499999999999998</v>
      </c>
      <c r="Z1056">
        <v>2.84</v>
      </c>
      <c r="AA1056">
        <v>4.6900000000000004</v>
      </c>
      <c r="AB1056">
        <v>1.23</v>
      </c>
      <c r="AC1056">
        <v>2.12</v>
      </c>
      <c r="AD1056">
        <v>4.58</v>
      </c>
      <c r="AE1056">
        <v>0.84</v>
      </c>
      <c r="AF1056">
        <v>2.7166666666666668</v>
      </c>
      <c r="AG1056" t="str">
        <f>HYPERLINK("https://finance.naver.com/item/fchart.naver?code=302430", "이노메트리 차트보기")</f>
        <v>이노메트리 차트보기</v>
      </c>
    </row>
    <row r="1057" spans="1:33" x14ac:dyDescent="0.3">
      <c r="A1057" t="s">
        <v>4255</v>
      </c>
      <c r="B1057" t="s">
        <v>34</v>
      </c>
      <c r="C1057" t="s">
        <v>4256</v>
      </c>
      <c r="D1057">
        <v>1164415.33</v>
      </c>
      <c r="E1057" t="s">
        <v>4257</v>
      </c>
      <c r="F1057">
        <v>0</v>
      </c>
      <c r="G1057">
        <v>0.82999998331069946</v>
      </c>
      <c r="H1057">
        <v>0</v>
      </c>
      <c r="I1057">
        <v>0</v>
      </c>
      <c r="J1057" t="s">
        <v>4258</v>
      </c>
      <c r="K1057">
        <v>2105</v>
      </c>
      <c r="L1057">
        <v>2055</v>
      </c>
      <c r="M1057">
        <v>-2.38</v>
      </c>
      <c r="N1057">
        <v>-3.75</v>
      </c>
      <c r="O1057">
        <v>10.63</v>
      </c>
      <c r="P1057">
        <v>-6.59</v>
      </c>
      <c r="Q1057">
        <v>-11.92</v>
      </c>
      <c r="R1057">
        <v>22.6</v>
      </c>
      <c r="S1057">
        <v>-3.21</v>
      </c>
      <c r="T1057">
        <v>3.32</v>
      </c>
      <c r="U1057">
        <v>3.46</v>
      </c>
      <c r="V1057">
        <v>4.34</v>
      </c>
      <c r="W1057">
        <v>5.2</v>
      </c>
      <c r="X1057">
        <v>5.33</v>
      </c>
      <c r="Y1057">
        <v>0.79</v>
      </c>
      <c r="Z1057">
        <v>1.1299999999999999</v>
      </c>
      <c r="AA1057">
        <v>3.07</v>
      </c>
      <c r="AB1057">
        <v>1.52</v>
      </c>
      <c r="AC1057">
        <v>2.29</v>
      </c>
      <c r="AD1057">
        <v>4.24</v>
      </c>
      <c r="AE1057">
        <v>4.0599999999999996</v>
      </c>
      <c r="AF1057">
        <v>2.7183333333333328</v>
      </c>
      <c r="AG1057" t="str">
        <f>HYPERLINK("https://finance.naver.com/item/fchart.naver?code=017180", "명문제약 차트보기")</f>
        <v>명문제약 차트보기</v>
      </c>
    </row>
    <row r="1058" spans="1:33" x14ac:dyDescent="0.3">
      <c r="A1058" t="s">
        <v>4259</v>
      </c>
      <c r="B1058" t="s">
        <v>34</v>
      </c>
      <c r="C1058" t="s">
        <v>4260</v>
      </c>
      <c r="D1058">
        <v>60281.71</v>
      </c>
      <c r="E1058" t="s">
        <v>4261</v>
      </c>
      <c r="F1058">
        <v>0</v>
      </c>
      <c r="G1058">
        <v>0.41999998688697809</v>
      </c>
      <c r="H1058">
        <v>0</v>
      </c>
      <c r="I1058">
        <v>0.57999998331069946</v>
      </c>
      <c r="J1058" t="s">
        <v>4262</v>
      </c>
      <c r="K1058">
        <v>10850</v>
      </c>
      <c r="L1058">
        <v>8640</v>
      </c>
      <c r="M1058">
        <v>-20.37</v>
      </c>
      <c r="N1058">
        <v>-0.35</v>
      </c>
      <c r="O1058">
        <v>-1.25</v>
      </c>
      <c r="P1058">
        <v>1.95</v>
      </c>
      <c r="Q1058">
        <v>-5.91</v>
      </c>
      <c r="R1058">
        <v>-6.63</v>
      </c>
      <c r="S1058">
        <v>-4.17</v>
      </c>
      <c r="T1058">
        <v>1.23</v>
      </c>
      <c r="U1058">
        <v>0.9</v>
      </c>
      <c r="V1058">
        <v>1.71</v>
      </c>
      <c r="W1058">
        <v>3.35</v>
      </c>
      <c r="X1058">
        <v>0.91</v>
      </c>
      <c r="Y1058">
        <v>0.93</v>
      </c>
      <c r="Z1058">
        <v>0.28000000000000003</v>
      </c>
      <c r="AA1058">
        <v>1.39</v>
      </c>
      <c r="AB1058">
        <v>1.1399999999999999</v>
      </c>
      <c r="AC1058">
        <v>1.76</v>
      </c>
      <c r="AD1058">
        <v>7.29</v>
      </c>
      <c r="AE1058">
        <v>4.4800000000000004</v>
      </c>
      <c r="AF1058">
        <v>2.7233333333333332</v>
      </c>
      <c r="AG1058" t="str">
        <f>HYPERLINK("https://finance.naver.com/item/fchart.naver?code=002620", "제일파마홀딩스 차트보기")</f>
        <v>제일파마홀딩스 차트보기</v>
      </c>
    </row>
    <row r="1059" spans="1:33" x14ac:dyDescent="0.3">
      <c r="A1059" t="s">
        <v>4263</v>
      </c>
      <c r="B1059" t="s">
        <v>55</v>
      </c>
      <c r="C1059" t="s">
        <v>4264</v>
      </c>
      <c r="D1059">
        <v>7247878.4299999997</v>
      </c>
      <c r="E1059" t="s">
        <v>4265</v>
      </c>
      <c r="F1059">
        <v>6.7</v>
      </c>
      <c r="G1059">
        <v>0.46000000834465032</v>
      </c>
      <c r="H1059">
        <v>391</v>
      </c>
      <c r="I1059">
        <v>0</v>
      </c>
      <c r="J1059" t="s">
        <v>4266</v>
      </c>
      <c r="K1059">
        <v>1914</v>
      </c>
      <c r="L1059">
        <v>2620</v>
      </c>
      <c r="M1059">
        <v>36.89</v>
      </c>
      <c r="N1059">
        <v>-12.52</v>
      </c>
      <c r="O1059">
        <v>82.29</v>
      </c>
      <c r="P1059">
        <v>-2.2799999999999998</v>
      </c>
      <c r="Q1059">
        <v>-5.08</v>
      </c>
      <c r="R1059">
        <v>-3.04</v>
      </c>
      <c r="S1059">
        <v>-1.37</v>
      </c>
      <c r="T1059">
        <v>8.2799999999999994</v>
      </c>
      <c r="U1059">
        <v>14.01</v>
      </c>
      <c r="V1059">
        <v>1.39</v>
      </c>
      <c r="W1059">
        <v>1.87</v>
      </c>
      <c r="X1059">
        <v>0.98</v>
      </c>
      <c r="Y1059">
        <v>0.91</v>
      </c>
      <c r="Z1059">
        <v>1.51</v>
      </c>
      <c r="AA1059">
        <v>5.87</v>
      </c>
      <c r="AB1059">
        <v>1.64</v>
      </c>
      <c r="AC1059">
        <v>2.72</v>
      </c>
      <c r="AD1059">
        <v>3.1</v>
      </c>
      <c r="AE1059">
        <v>1.51</v>
      </c>
      <c r="AF1059">
        <v>2.7250000000000001</v>
      </c>
      <c r="AG1059" t="str">
        <f>HYPERLINK("https://finance.naver.com/item/fchart.naver?code=036000", "예림당 차트보기")</f>
        <v>예림당 차트보기</v>
      </c>
    </row>
    <row r="1060" spans="1:33" x14ac:dyDescent="0.3">
      <c r="A1060" t="s">
        <v>4267</v>
      </c>
      <c r="B1060" t="s">
        <v>55</v>
      </c>
      <c r="C1060" t="s">
        <v>4268</v>
      </c>
      <c r="D1060">
        <v>559068.81000000006</v>
      </c>
      <c r="E1060" t="s">
        <v>4269</v>
      </c>
      <c r="F1060">
        <v>29.52</v>
      </c>
      <c r="G1060">
        <v>3.910000085830688</v>
      </c>
      <c r="H1060">
        <v>608</v>
      </c>
      <c r="I1060">
        <v>0</v>
      </c>
      <c r="J1060" t="s">
        <v>4270</v>
      </c>
      <c r="K1060">
        <v>22600</v>
      </c>
      <c r="L1060">
        <v>17950</v>
      </c>
      <c r="M1060">
        <v>-20.58</v>
      </c>
      <c r="N1060">
        <v>-6.99</v>
      </c>
      <c r="O1060">
        <v>10.050000000000001</v>
      </c>
      <c r="P1060">
        <v>1</v>
      </c>
      <c r="Q1060">
        <v>-0.44</v>
      </c>
      <c r="R1060">
        <v>-24.47</v>
      </c>
      <c r="S1060">
        <v>6.56</v>
      </c>
      <c r="T1060">
        <v>8.1999999999999993</v>
      </c>
      <c r="U1060">
        <v>4.41</v>
      </c>
      <c r="V1060">
        <v>2.82</v>
      </c>
      <c r="W1060">
        <v>5.27</v>
      </c>
      <c r="X1060">
        <v>2.27</v>
      </c>
      <c r="Y1060">
        <v>3.26</v>
      </c>
      <c r="Z1060">
        <v>0.85</v>
      </c>
      <c r="AA1060">
        <v>2.2799999999999998</v>
      </c>
      <c r="AB1060">
        <v>0.35</v>
      </c>
      <c r="AC1060">
        <v>0.08</v>
      </c>
      <c r="AD1060">
        <v>10.78</v>
      </c>
      <c r="AE1060">
        <v>2.0099999999999998</v>
      </c>
      <c r="AF1060">
        <v>2.7250000000000001</v>
      </c>
      <c r="AG1060" t="str">
        <f>HYPERLINK("https://finance.naver.com/item/fchart.naver?code=418550", "제이오 차트보기")</f>
        <v>제이오 차트보기</v>
      </c>
    </row>
    <row r="1061" spans="1:33" x14ac:dyDescent="0.3">
      <c r="A1061" t="s">
        <v>4271</v>
      </c>
      <c r="B1061" t="s">
        <v>55</v>
      </c>
      <c r="C1061" t="s">
        <v>4272</v>
      </c>
      <c r="D1061">
        <v>61667.86</v>
      </c>
      <c r="E1061" t="s">
        <v>4273</v>
      </c>
      <c r="F1061">
        <v>0</v>
      </c>
      <c r="G1061">
        <v>1.4900000095367429</v>
      </c>
      <c r="H1061">
        <v>0</v>
      </c>
      <c r="I1061">
        <v>0</v>
      </c>
      <c r="J1061" t="s">
        <v>4274</v>
      </c>
      <c r="K1061">
        <v>6620</v>
      </c>
      <c r="L1061">
        <v>4455</v>
      </c>
      <c r="M1061">
        <v>-32.700000000000003</v>
      </c>
      <c r="N1061">
        <v>0.68</v>
      </c>
      <c r="O1061">
        <v>-6.71</v>
      </c>
      <c r="P1061">
        <v>-0.83</v>
      </c>
      <c r="Q1061">
        <v>-7.5</v>
      </c>
      <c r="R1061">
        <v>-13.06</v>
      </c>
      <c r="S1061">
        <v>-5.57</v>
      </c>
      <c r="T1061">
        <v>2.23</v>
      </c>
      <c r="U1061">
        <v>3.57</v>
      </c>
      <c r="V1061">
        <v>1.95</v>
      </c>
      <c r="W1061">
        <v>3.93</v>
      </c>
      <c r="X1061">
        <v>1.44</v>
      </c>
      <c r="Y1061">
        <v>2.02</v>
      </c>
      <c r="Z1061">
        <v>0.3</v>
      </c>
      <c r="AA1061">
        <v>1.88</v>
      </c>
      <c r="AB1061">
        <v>0.43</v>
      </c>
      <c r="AC1061">
        <v>1.91</v>
      </c>
      <c r="AD1061">
        <v>9.07</v>
      </c>
      <c r="AE1061">
        <v>2.76</v>
      </c>
      <c r="AF1061">
        <v>2.7250000000000001</v>
      </c>
      <c r="AG1061" t="str">
        <f>HYPERLINK("https://finance.naver.com/item/fchart.naver?code=054780", "키이스트 차트보기")</f>
        <v>키이스트 차트보기</v>
      </c>
    </row>
    <row r="1062" spans="1:33" x14ac:dyDescent="0.3">
      <c r="A1062" t="s">
        <v>4275</v>
      </c>
      <c r="B1062" t="s">
        <v>34</v>
      </c>
      <c r="C1062" t="s">
        <v>4276</v>
      </c>
      <c r="D1062">
        <v>3491.38</v>
      </c>
      <c r="E1062" t="s">
        <v>4277</v>
      </c>
      <c r="F1062">
        <v>0</v>
      </c>
      <c r="G1062">
        <v>0</v>
      </c>
      <c r="H1062">
        <v>0</v>
      </c>
      <c r="I1062">
        <v>2.7000000476837158</v>
      </c>
      <c r="J1062" t="s">
        <v>4278</v>
      </c>
      <c r="K1062">
        <v>12720</v>
      </c>
      <c r="L1062">
        <v>16690</v>
      </c>
      <c r="M1062">
        <v>31.21</v>
      </c>
      <c r="N1062">
        <v>-0.48</v>
      </c>
      <c r="O1062">
        <v>-1.06</v>
      </c>
      <c r="P1062">
        <v>-13.3</v>
      </c>
      <c r="Q1062">
        <v>23.23</v>
      </c>
      <c r="R1062">
        <v>-19.8</v>
      </c>
      <c r="S1062">
        <v>67.52</v>
      </c>
      <c r="T1062">
        <v>2.12</v>
      </c>
      <c r="U1062">
        <v>1.52</v>
      </c>
      <c r="V1062">
        <v>4.1500000000000004</v>
      </c>
      <c r="W1062">
        <v>10.59</v>
      </c>
      <c r="X1062">
        <v>3.49</v>
      </c>
      <c r="Y1062">
        <v>15.44</v>
      </c>
      <c r="Z1062">
        <v>0.23</v>
      </c>
      <c r="AA1062">
        <v>0.7</v>
      </c>
      <c r="AB1062">
        <v>3.2</v>
      </c>
      <c r="AC1062">
        <v>2.19</v>
      </c>
      <c r="AD1062">
        <v>5.67</v>
      </c>
      <c r="AE1062">
        <v>4.37</v>
      </c>
      <c r="AF1062">
        <v>2.726666666666667</v>
      </c>
      <c r="AG1062" t="str">
        <f>HYPERLINK("https://finance.naver.com/item/fchart.naver?code=003075", "코오롱글로벌우 차트보기")</f>
        <v>코오롱글로벌우 차트보기</v>
      </c>
    </row>
    <row r="1063" spans="1:33" x14ac:dyDescent="0.3">
      <c r="A1063" t="s">
        <v>4279</v>
      </c>
      <c r="B1063" t="s">
        <v>34</v>
      </c>
      <c r="C1063" t="s">
        <v>4280</v>
      </c>
      <c r="D1063">
        <v>2245197.7599999998</v>
      </c>
      <c r="E1063" t="s">
        <v>4281</v>
      </c>
      <c r="F1063">
        <v>73</v>
      </c>
      <c r="G1063">
        <v>4.820000171661377</v>
      </c>
      <c r="H1063">
        <v>1815</v>
      </c>
      <c r="I1063">
        <v>0.34000000357627869</v>
      </c>
      <c r="J1063" t="s">
        <v>4282</v>
      </c>
      <c r="K1063">
        <v>74000</v>
      </c>
      <c r="L1063">
        <v>132500</v>
      </c>
      <c r="M1063">
        <v>79.05</v>
      </c>
      <c r="N1063">
        <v>-1.71</v>
      </c>
      <c r="O1063">
        <v>-0.43</v>
      </c>
      <c r="P1063">
        <v>1.86</v>
      </c>
      <c r="Q1063">
        <v>53.26</v>
      </c>
      <c r="R1063">
        <v>12.65</v>
      </c>
      <c r="S1063">
        <v>7.87</v>
      </c>
      <c r="T1063">
        <v>2.82</v>
      </c>
      <c r="U1063">
        <v>3.45</v>
      </c>
      <c r="V1063">
        <v>5.14</v>
      </c>
      <c r="W1063">
        <v>5.78</v>
      </c>
      <c r="X1063">
        <v>3.79</v>
      </c>
      <c r="Y1063">
        <v>2.88</v>
      </c>
      <c r="Z1063">
        <v>0.61</v>
      </c>
      <c r="AA1063">
        <v>0.12</v>
      </c>
      <c r="AB1063">
        <v>0.36</v>
      </c>
      <c r="AC1063">
        <v>9.2100000000000009</v>
      </c>
      <c r="AD1063">
        <v>3.34</v>
      </c>
      <c r="AE1063">
        <v>2.73</v>
      </c>
      <c r="AF1063">
        <v>2.7283333333333331</v>
      </c>
      <c r="AG1063" t="str">
        <f>HYPERLINK("https://finance.naver.com/item/fchart.naver?code=000100", "유한양행 차트보기")</f>
        <v>유한양행 차트보기</v>
      </c>
    </row>
    <row r="1064" spans="1:33" x14ac:dyDescent="0.3">
      <c r="A1064" t="s">
        <v>4283</v>
      </c>
      <c r="B1064" t="s">
        <v>55</v>
      </c>
      <c r="C1064" t="s">
        <v>4284</v>
      </c>
      <c r="D1064">
        <v>42989.57</v>
      </c>
      <c r="E1064" t="s">
        <v>4285</v>
      </c>
      <c r="F1064">
        <v>5.24</v>
      </c>
      <c r="G1064">
        <v>0.69999998807907104</v>
      </c>
      <c r="H1064">
        <v>833</v>
      </c>
      <c r="I1064">
        <v>2.2899999618530269</v>
      </c>
      <c r="J1064" t="s">
        <v>4286</v>
      </c>
      <c r="K1064">
        <v>6820</v>
      </c>
      <c r="L1064">
        <v>4365</v>
      </c>
      <c r="M1064">
        <v>-36</v>
      </c>
      <c r="N1064">
        <v>-3</v>
      </c>
      <c r="O1064">
        <v>-4.47</v>
      </c>
      <c r="P1064">
        <v>-5.81</v>
      </c>
      <c r="Q1064">
        <v>-10.19</v>
      </c>
      <c r="R1064">
        <v>-9.64</v>
      </c>
      <c r="S1064">
        <v>-2.48</v>
      </c>
      <c r="T1064">
        <v>2.33</v>
      </c>
      <c r="U1064">
        <v>0.99</v>
      </c>
      <c r="V1064">
        <v>2.33</v>
      </c>
      <c r="W1064">
        <v>3.9</v>
      </c>
      <c r="X1064">
        <v>2.2200000000000002</v>
      </c>
      <c r="Y1064">
        <v>2.2200000000000002</v>
      </c>
      <c r="Z1064">
        <v>1.29</v>
      </c>
      <c r="AA1064">
        <v>4.5199999999999996</v>
      </c>
      <c r="AB1064">
        <v>2.4900000000000002</v>
      </c>
      <c r="AC1064">
        <v>2.61</v>
      </c>
      <c r="AD1064">
        <v>4.34</v>
      </c>
      <c r="AE1064">
        <v>1.1200000000000001</v>
      </c>
      <c r="AF1064">
        <v>2.7283333333333331</v>
      </c>
      <c r="AG1064" t="str">
        <f>HYPERLINK("https://finance.naver.com/item/fchart.naver?code=042500", "링네트 차트보기")</f>
        <v>링네트 차트보기</v>
      </c>
    </row>
    <row r="1065" spans="1:33" x14ac:dyDescent="0.3">
      <c r="A1065" t="s">
        <v>4287</v>
      </c>
      <c r="B1065" t="s">
        <v>55</v>
      </c>
      <c r="C1065" t="s">
        <v>4288</v>
      </c>
      <c r="D1065">
        <v>14377.52</v>
      </c>
      <c r="E1065" t="s">
        <v>4289</v>
      </c>
      <c r="F1065">
        <v>0</v>
      </c>
      <c r="G1065">
        <v>1.570000052452087</v>
      </c>
      <c r="H1065">
        <v>0</v>
      </c>
      <c r="I1065">
        <v>0</v>
      </c>
      <c r="J1065" t="s">
        <v>4290</v>
      </c>
      <c r="K1065">
        <v>24950</v>
      </c>
      <c r="L1065">
        <v>14600</v>
      </c>
      <c r="M1065">
        <v>-41.48</v>
      </c>
      <c r="N1065">
        <v>-7.01</v>
      </c>
      <c r="O1065">
        <v>-7.49</v>
      </c>
      <c r="P1065">
        <v>-3.07</v>
      </c>
      <c r="Q1065">
        <v>-11.85</v>
      </c>
      <c r="R1065">
        <v>-16.899999999999999</v>
      </c>
      <c r="S1065">
        <v>-3.12</v>
      </c>
      <c r="T1065">
        <v>3.82</v>
      </c>
      <c r="U1065">
        <v>2.1800000000000002</v>
      </c>
      <c r="V1065">
        <v>4.41</v>
      </c>
      <c r="W1065">
        <v>4.68</v>
      </c>
      <c r="X1065">
        <v>2.44</v>
      </c>
      <c r="Y1065">
        <v>3.3</v>
      </c>
      <c r="Z1065">
        <v>1.84</v>
      </c>
      <c r="AA1065">
        <v>3.44</v>
      </c>
      <c r="AB1065">
        <v>0.7</v>
      </c>
      <c r="AC1065">
        <v>2.5299999999999998</v>
      </c>
      <c r="AD1065">
        <v>6.93</v>
      </c>
      <c r="AE1065">
        <v>0.95</v>
      </c>
      <c r="AF1065">
        <v>2.7316666666666669</v>
      </c>
      <c r="AG1065" t="str">
        <f>HYPERLINK("https://finance.naver.com/item/fchart.naver?code=290670", "대보마그네틱 차트보기")</f>
        <v>대보마그네틱 차트보기</v>
      </c>
    </row>
    <row r="1066" spans="1:33" x14ac:dyDescent="0.3">
      <c r="A1066" t="s">
        <v>4291</v>
      </c>
      <c r="B1066" t="s">
        <v>34</v>
      </c>
      <c r="C1066" t="s">
        <v>4292</v>
      </c>
      <c r="D1066">
        <v>69096.33</v>
      </c>
      <c r="E1066" t="s">
        <v>4293</v>
      </c>
      <c r="F1066">
        <v>3.63</v>
      </c>
      <c r="G1066">
        <v>0.34000000357627869</v>
      </c>
      <c r="H1066">
        <v>4007</v>
      </c>
      <c r="I1066">
        <v>3.440000057220459</v>
      </c>
      <c r="J1066" t="s">
        <v>4294</v>
      </c>
      <c r="K1066">
        <v>13530</v>
      </c>
      <c r="L1066">
        <v>14550</v>
      </c>
      <c r="M1066">
        <v>7.54</v>
      </c>
      <c r="N1066">
        <v>8.1</v>
      </c>
      <c r="O1066">
        <v>2.54</v>
      </c>
      <c r="P1066">
        <v>4.0599999999999996</v>
      </c>
      <c r="Q1066">
        <v>-2.74</v>
      </c>
      <c r="R1066">
        <v>-5.0199999999999996</v>
      </c>
      <c r="S1066">
        <v>-5.48</v>
      </c>
      <c r="T1066">
        <v>4.66</v>
      </c>
      <c r="U1066">
        <v>1.28</v>
      </c>
      <c r="V1066">
        <v>1.88</v>
      </c>
      <c r="W1066">
        <v>2.81</v>
      </c>
      <c r="X1066">
        <v>1.59</v>
      </c>
      <c r="Y1066">
        <v>0.86</v>
      </c>
      <c r="Z1066">
        <v>1.74</v>
      </c>
      <c r="AA1066">
        <v>1.98</v>
      </c>
      <c r="AB1066">
        <v>2.16</v>
      </c>
      <c r="AC1066">
        <v>0.98</v>
      </c>
      <c r="AD1066">
        <v>3.16</v>
      </c>
      <c r="AE1066">
        <v>6.37</v>
      </c>
      <c r="AF1066">
        <v>2.7316666666666669</v>
      </c>
      <c r="AG1066" t="str">
        <f>HYPERLINK("https://finance.naver.com/item/fchart.naver?code=084010", "대한제강 차트보기")</f>
        <v>대한제강 차트보기</v>
      </c>
    </row>
    <row r="1067" spans="1:33" x14ac:dyDescent="0.3">
      <c r="A1067" t="s">
        <v>4295</v>
      </c>
      <c r="B1067" t="s">
        <v>55</v>
      </c>
      <c r="C1067" t="s">
        <v>4296</v>
      </c>
      <c r="D1067">
        <v>94682.240000000005</v>
      </c>
      <c r="E1067" t="s">
        <v>4297</v>
      </c>
      <c r="F1067">
        <v>17.260000000000002</v>
      </c>
      <c r="G1067">
        <v>0.47999998927116388</v>
      </c>
      <c r="H1067">
        <v>137</v>
      </c>
      <c r="I1067">
        <v>6.3400001525878906</v>
      </c>
      <c r="J1067" t="s">
        <v>4298</v>
      </c>
      <c r="K1067">
        <v>2540</v>
      </c>
      <c r="L1067">
        <v>2365</v>
      </c>
      <c r="M1067">
        <v>-6.89</v>
      </c>
      <c r="N1067">
        <v>-5.21</v>
      </c>
      <c r="O1067">
        <v>-3.68</v>
      </c>
      <c r="P1067">
        <v>0.19</v>
      </c>
      <c r="Q1067">
        <v>7.19</v>
      </c>
      <c r="R1067">
        <v>-7.9</v>
      </c>
      <c r="S1067">
        <v>-1.51</v>
      </c>
      <c r="T1067">
        <v>1.07</v>
      </c>
      <c r="U1067">
        <v>1.36</v>
      </c>
      <c r="V1067">
        <v>1.66</v>
      </c>
      <c r="W1067">
        <v>2.2000000000000002</v>
      </c>
      <c r="X1067">
        <v>1.71</v>
      </c>
      <c r="Y1067">
        <v>1.86</v>
      </c>
      <c r="Z1067">
        <v>4.87</v>
      </c>
      <c r="AA1067">
        <v>2.71</v>
      </c>
      <c r="AB1067">
        <v>0.11</v>
      </c>
      <c r="AC1067">
        <v>3.27</v>
      </c>
      <c r="AD1067">
        <v>4.62</v>
      </c>
      <c r="AE1067">
        <v>0.81</v>
      </c>
      <c r="AF1067">
        <v>2.7316666666666669</v>
      </c>
      <c r="AG1067" t="str">
        <f>HYPERLINK("https://finance.naver.com/item/fchart.naver?code=067570", "엔브이에이치코리아 차트보기")</f>
        <v>엔브이에이치코리아 차트보기</v>
      </c>
    </row>
    <row r="1068" spans="1:33" x14ac:dyDescent="0.3">
      <c r="A1068" t="s">
        <v>4299</v>
      </c>
      <c r="B1068" t="s">
        <v>34</v>
      </c>
      <c r="C1068" t="s">
        <v>4300</v>
      </c>
      <c r="D1068">
        <v>22419.9</v>
      </c>
      <c r="E1068" t="s">
        <v>4301</v>
      </c>
      <c r="F1068">
        <v>5.81</v>
      </c>
      <c r="G1068">
        <v>0.31000000238418579</v>
      </c>
      <c r="H1068">
        <v>23574</v>
      </c>
      <c r="I1068">
        <v>2.9200000762939449</v>
      </c>
      <c r="J1068" t="s">
        <v>4302</v>
      </c>
      <c r="K1068">
        <v>172800</v>
      </c>
      <c r="L1068">
        <v>136900</v>
      </c>
      <c r="M1068">
        <v>-20.78</v>
      </c>
      <c r="N1068">
        <v>-8.7899999999999991</v>
      </c>
      <c r="O1068">
        <v>-2.6</v>
      </c>
      <c r="P1068">
        <v>4.12</v>
      </c>
      <c r="Q1068">
        <v>-2.9</v>
      </c>
      <c r="R1068">
        <v>-4.1100000000000003</v>
      </c>
      <c r="S1068">
        <v>-4.79</v>
      </c>
      <c r="T1068">
        <v>2.2599999999999998</v>
      </c>
      <c r="U1068">
        <v>1.72</v>
      </c>
      <c r="V1068">
        <v>1.87</v>
      </c>
      <c r="W1068">
        <v>2.42</v>
      </c>
      <c r="X1068">
        <v>1.24</v>
      </c>
      <c r="Y1068">
        <v>1.1200000000000001</v>
      </c>
      <c r="Z1068">
        <v>3.89</v>
      </c>
      <c r="AA1068">
        <v>1.51</v>
      </c>
      <c r="AB1068">
        <v>2.2000000000000002</v>
      </c>
      <c r="AC1068">
        <v>1.2</v>
      </c>
      <c r="AD1068">
        <v>3.31</v>
      </c>
      <c r="AE1068">
        <v>4.28</v>
      </c>
      <c r="AF1068">
        <v>2.7316666666666669</v>
      </c>
      <c r="AG1068" t="str">
        <f>HYPERLINK("https://finance.naver.com/item/fchart.naver?code=004170", "신세계 차트보기")</f>
        <v>신세계 차트보기</v>
      </c>
    </row>
    <row r="1069" spans="1:33" x14ac:dyDescent="0.3">
      <c r="A1069" t="s">
        <v>4303</v>
      </c>
      <c r="B1069" t="s">
        <v>55</v>
      </c>
      <c r="C1069" t="s">
        <v>4304</v>
      </c>
      <c r="D1069">
        <v>10558.62</v>
      </c>
      <c r="E1069" t="s">
        <v>4305</v>
      </c>
      <c r="F1069">
        <v>8.91</v>
      </c>
      <c r="G1069">
        <v>0.95999997854232788</v>
      </c>
      <c r="H1069">
        <v>1740</v>
      </c>
      <c r="I1069">
        <v>3.220000028610229</v>
      </c>
      <c r="J1069" t="s">
        <v>4306</v>
      </c>
      <c r="K1069">
        <v>17940</v>
      </c>
      <c r="L1069">
        <v>15510</v>
      </c>
      <c r="M1069">
        <v>-13.55</v>
      </c>
      <c r="N1069">
        <v>-2.4500000000000002</v>
      </c>
      <c r="O1069">
        <v>-2.97</v>
      </c>
      <c r="P1069">
        <v>-0.6</v>
      </c>
      <c r="Q1069">
        <v>-7.28</v>
      </c>
      <c r="R1069">
        <v>-0.66</v>
      </c>
      <c r="S1069">
        <v>2.94</v>
      </c>
      <c r="T1069">
        <v>0.72</v>
      </c>
      <c r="U1069">
        <v>1.21</v>
      </c>
      <c r="V1069">
        <v>1.63</v>
      </c>
      <c r="W1069">
        <v>1.63</v>
      </c>
      <c r="X1069">
        <v>0.75</v>
      </c>
      <c r="Y1069">
        <v>0.61</v>
      </c>
      <c r="Z1069">
        <v>3.4</v>
      </c>
      <c r="AA1069">
        <v>2.4500000000000002</v>
      </c>
      <c r="AB1069">
        <v>0.37</v>
      </c>
      <c r="AC1069">
        <v>4.47</v>
      </c>
      <c r="AD1069">
        <v>0.88</v>
      </c>
      <c r="AE1069">
        <v>4.82</v>
      </c>
      <c r="AF1069">
        <v>2.7316666666666669</v>
      </c>
      <c r="AG1069" t="str">
        <f>HYPERLINK("https://finance.naver.com/item/fchart.naver?code=143240", "사람인 차트보기")</f>
        <v>사람인 차트보기</v>
      </c>
    </row>
    <row r="1070" spans="1:33" x14ac:dyDescent="0.3">
      <c r="A1070" t="s">
        <v>4307</v>
      </c>
      <c r="B1070" t="s">
        <v>55</v>
      </c>
      <c r="C1070" t="s">
        <v>4308</v>
      </c>
      <c r="D1070">
        <v>3778.57</v>
      </c>
      <c r="E1070" t="s">
        <v>4309</v>
      </c>
      <c r="F1070">
        <v>34.119999999999997</v>
      </c>
      <c r="G1070">
        <v>1.110000014305115</v>
      </c>
      <c r="H1070">
        <v>148</v>
      </c>
      <c r="I1070">
        <v>0</v>
      </c>
      <c r="J1070" t="s">
        <v>4310</v>
      </c>
      <c r="K1070">
        <v>6350</v>
      </c>
      <c r="L1070">
        <v>5050</v>
      </c>
      <c r="M1070">
        <v>-20.47</v>
      </c>
      <c r="N1070">
        <v>-2.3199999999999998</v>
      </c>
      <c r="O1070">
        <v>-2.63</v>
      </c>
      <c r="P1070">
        <v>-2.91</v>
      </c>
      <c r="Q1070">
        <v>-6.05</v>
      </c>
      <c r="R1070">
        <v>-1.83</v>
      </c>
      <c r="S1070">
        <v>-4.79</v>
      </c>
      <c r="T1070">
        <v>0.81</v>
      </c>
      <c r="U1070">
        <v>0.76</v>
      </c>
      <c r="V1070">
        <v>2.0299999999999998</v>
      </c>
      <c r="W1070">
        <v>5.71</v>
      </c>
      <c r="X1070">
        <v>1.34</v>
      </c>
      <c r="Y1070">
        <v>0.77</v>
      </c>
      <c r="Z1070">
        <v>2.86</v>
      </c>
      <c r="AA1070">
        <v>3.46</v>
      </c>
      <c r="AB1070">
        <v>1.43</v>
      </c>
      <c r="AC1070">
        <v>1.06</v>
      </c>
      <c r="AD1070">
        <v>1.37</v>
      </c>
      <c r="AE1070">
        <v>6.22</v>
      </c>
      <c r="AF1070">
        <v>2.7333333333333329</v>
      </c>
      <c r="AG1070" t="str">
        <f>HYPERLINK("https://finance.naver.com/item/fchart.naver?code=045520", "크린앤사이언스 차트보기")</f>
        <v>크린앤사이언스 차트보기</v>
      </c>
    </row>
    <row r="1071" spans="1:33" x14ac:dyDescent="0.3">
      <c r="A1071" t="s">
        <v>4311</v>
      </c>
      <c r="B1071" t="s">
        <v>34</v>
      </c>
      <c r="C1071" t="s">
        <v>4312</v>
      </c>
      <c r="D1071">
        <v>4589.5200000000004</v>
      </c>
      <c r="E1071" t="s">
        <v>4313</v>
      </c>
      <c r="F1071">
        <v>6.4</v>
      </c>
      <c r="G1071">
        <v>0.49000000953674322</v>
      </c>
      <c r="H1071">
        <v>978</v>
      </c>
      <c r="I1071">
        <v>4.7899999618530273</v>
      </c>
      <c r="J1071" t="s">
        <v>4314</v>
      </c>
      <c r="K1071">
        <v>6300</v>
      </c>
      <c r="L1071">
        <v>6260</v>
      </c>
      <c r="M1071">
        <v>-0.63</v>
      </c>
      <c r="N1071">
        <v>0.32</v>
      </c>
      <c r="O1071">
        <v>0.81</v>
      </c>
      <c r="P1071">
        <v>0.81</v>
      </c>
      <c r="Q1071">
        <v>-0.96</v>
      </c>
      <c r="R1071">
        <v>-1.41</v>
      </c>
      <c r="S1071">
        <v>1.1100000000000001</v>
      </c>
      <c r="T1071">
        <v>0.15</v>
      </c>
      <c r="U1071">
        <v>0.39</v>
      </c>
      <c r="V1071">
        <v>0.36</v>
      </c>
      <c r="W1071">
        <v>0.78</v>
      </c>
      <c r="X1071">
        <v>0.24</v>
      </c>
      <c r="Y1071">
        <v>0.39</v>
      </c>
      <c r="Z1071">
        <v>2.13</v>
      </c>
      <c r="AA1071">
        <v>2.08</v>
      </c>
      <c r="AB1071">
        <v>2.25</v>
      </c>
      <c r="AC1071">
        <v>1.23</v>
      </c>
      <c r="AD1071">
        <v>5.88</v>
      </c>
      <c r="AE1071">
        <v>2.85</v>
      </c>
      <c r="AF1071">
        <v>2.7366666666666668</v>
      </c>
      <c r="AG1071" t="str">
        <f>HYPERLINK("https://finance.naver.com/item/fchart.naver?code=007590", "동방아그로 차트보기")</f>
        <v>동방아그로 차트보기</v>
      </c>
    </row>
    <row r="1072" spans="1:33" x14ac:dyDescent="0.3">
      <c r="A1072" t="s">
        <v>4315</v>
      </c>
      <c r="B1072" t="s">
        <v>55</v>
      </c>
      <c r="C1072" t="s">
        <v>4316</v>
      </c>
      <c r="D1072">
        <v>13468439.619999999</v>
      </c>
      <c r="E1072" t="s">
        <v>4317</v>
      </c>
      <c r="F1072">
        <v>49.19</v>
      </c>
      <c r="G1072">
        <v>1.0399999618530269</v>
      </c>
      <c r="H1072">
        <v>32</v>
      </c>
      <c r="I1072">
        <v>0</v>
      </c>
      <c r="J1072" t="s">
        <v>4318</v>
      </c>
      <c r="K1072">
        <v>1641</v>
      </c>
      <c r="L1072">
        <v>1574</v>
      </c>
      <c r="M1072">
        <v>-4.08</v>
      </c>
      <c r="N1072">
        <v>-2.2400000000000002</v>
      </c>
      <c r="O1072">
        <v>33.950000000000003</v>
      </c>
      <c r="P1072">
        <v>-2.37</v>
      </c>
      <c r="Q1072">
        <v>-11.79</v>
      </c>
      <c r="R1072">
        <v>-10.48</v>
      </c>
      <c r="S1072">
        <v>-3.84</v>
      </c>
      <c r="T1072">
        <v>3.94</v>
      </c>
      <c r="U1072">
        <v>9.09</v>
      </c>
      <c r="V1072">
        <v>1.94</v>
      </c>
      <c r="W1072">
        <v>3.78</v>
      </c>
      <c r="X1072">
        <v>2.29</v>
      </c>
      <c r="Y1072">
        <v>1.2</v>
      </c>
      <c r="Z1072">
        <v>0.56999999999999995</v>
      </c>
      <c r="AA1072">
        <v>3.73</v>
      </c>
      <c r="AB1072">
        <v>1.22</v>
      </c>
      <c r="AC1072">
        <v>3.12</v>
      </c>
      <c r="AD1072">
        <v>4.58</v>
      </c>
      <c r="AE1072">
        <v>3.2</v>
      </c>
      <c r="AF1072">
        <v>2.7366666666666668</v>
      </c>
      <c r="AG1072" t="str">
        <f>HYPERLINK("https://finance.naver.com/item/fchart.naver?code=032580", "피델릭스 차트보기")</f>
        <v>피델릭스 차트보기</v>
      </c>
    </row>
    <row r="1073" spans="1:33" x14ac:dyDescent="0.3">
      <c r="A1073" t="s">
        <v>4319</v>
      </c>
      <c r="B1073" t="s">
        <v>34</v>
      </c>
      <c r="C1073" t="s">
        <v>4320</v>
      </c>
      <c r="D1073">
        <v>70980.570000000007</v>
      </c>
      <c r="E1073" t="s">
        <v>4321</v>
      </c>
      <c r="F1073">
        <v>28.32</v>
      </c>
      <c r="G1073">
        <v>2.470000028610229</v>
      </c>
      <c r="H1073">
        <v>5024</v>
      </c>
      <c r="I1073">
        <v>1</v>
      </c>
      <c r="J1073" t="s">
        <v>4322</v>
      </c>
      <c r="K1073">
        <v>150400</v>
      </c>
      <c r="L1073">
        <v>142300</v>
      </c>
      <c r="M1073">
        <v>-5.39</v>
      </c>
      <c r="N1073">
        <v>8.5399999999999991</v>
      </c>
      <c r="O1073">
        <v>-12.95</v>
      </c>
      <c r="P1073">
        <v>-4.17</v>
      </c>
      <c r="Q1073">
        <v>-3.3</v>
      </c>
      <c r="R1073">
        <v>1.05</v>
      </c>
      <c r="S1073">
        <v>9.5299999999999994</v>
      </c>
      <c r="T1073">
        <v>3.81</v>
      </c>
      <c r="U1073">
        <v>2.08</v>
      </c>
      <c r="V1073">
        <v>2.2400000000000002</v>
      </c>
      <c r="W1073">
        <v>3.35</v>
      </c>
      <c r="X1073">
        <v>3.3</v>
      </c>
      <c r="Y1073">
        <v>1.99</v>
      </c>
      <c r="Z1073">
        <v>2.2400000000000002</v>
      </c>
      <c r="AA1073">
        <v>6.23</v>
      </c>
      <c r="AB1073">
        <v>1.86</v>
      </c>
      <c r="AC1073">
        <v>0.99</v>
      </c>
      <c r="AD1073">
        <v>0.32</v>
      </c>
      <c r="AE1073">
        <v>4.79</v>
      </c>
      <c r="AF1073">
        <v>2.7383333333333328</v>
      </c>
      <c r="AG1073" t="str">
        <f>HYPERLINK("https://finance.naver.com/item/fchart.naver?code=307950", "현대오토에버 차트보기")</f>
        <v>현대오토에버 차트보기</v>
      </c>
    </row>
    <row r="1074" spans="1:33" x14ac:dyDescent="0.3">
      <c r="A1074" t="s">
        <v>4323</v>
      </c>
      <c r="B1074" t="s">
        <v>34</v>
      </c>
      <c r="C1074" t="s">
        <v>4324</v>
      </c>
      <c r="D1074">
        <v>61273.81</v>
      </c>
      <c r="E1074" t="s">
        <v>4325</v>
      </c>
      <c r="F1074">
        <v>29.77</v>
      </c>
      <c r="G1074">
        <v>4.0799999237060547</v>
      </c>
      <c r="H1074">
        <v>218</v>
      </c>
      <c r="I1074">
        <v>0</v>
      </c>
      <c r="J1074" t="s">
        <v>4326</v>
      </c>
      <c r="K1074">
        <v>9880</v>
      </c>
      <c r="L1074">
        <v>6490</v>
      </c>
      <c r="M1074">
        <v>-34.31</v>
      </c>
      <c r="N1074">
        <v>-1.52</v>
      </c>
      <c r="O1074">
        <v>-11.44</v>
      </c>
      <c r="P1074">
        <v>1.99</v>
      </c>
      <c r="Q1074">
        <v>-13.93</v>
      </c>
      <c r="R1074">
        <v>-6.38</v>
      </c>
      <c r="S1074">
        <v>-7.76</v>
      </c>
      <c r="T1074">
        <v>3</v>
      </c>
      <c r="U1074">
        <v>1.97</v>
      </c>
      <c r="V1074">
        <v>1.99</v>
      </c>
      <c r="W1074">
        <v>3.68</v>
      </c>
      <c r="X1074">
        <v>2.2200000000000002</v>
      </c>
      <c r="Y1074">
        <v>3.17</v>
      </c>
      <c r="Z1074">
        <v>0.51</v>
      </c>
      <c r="AA1074">
        <v>5.81</v>
      </c>
      <c r="AB1074">
        <v>1</v>
      </c>
      <c r="AC1074">
        <v>3.79</v>
      </c>
      <c r="AD1074">
        <v>2.87</v>
      </c>
      <c r="AE1074">
        <v>2.4500000000000002</v>
      </c>
      <c r="AF1074">
        <v>2.7383333333333328</v>
      </c>
      <c r="AG1074" t="str">
        <f>HYPERLINK("https://finance.naver.com/item/fchart.naver?code=123690", "한국화장품 차트보기")</f>
        <v>한국화장품 차트보기</v>
      </c>
    </row>
    <row r="1075" spans="1:33" x14ac:dyDescent="0.3">
      <c r="A1075" t="s">
        <v>4327</v>
      </c>
      <c r="B1075" t="s">
        <v>55</v>
      </c>
      <c r="C1075" t="s">
        <v>4328</v>
      </c>
      <c r="D1075">
        <v>26683.95</v>
      </c>
      <c r="E1075" t="s">
        <v>4329</v>
      </c>
      <c r="F1075">
        <v>1.38</v>
      </c>
      <c r="G1075">
        <v>0.54000002145767212</v>
      </c>
      <c r="H1075">
        <v>9148</v>
      </c>
      <c r="I1075">
        <v>15.819999694824221</v>
      </c>
      <c r="J1075" t="s">
        <v>4330</v>
      </c>
      <c r="K1075">
        <v>14830</v>
      </c>
      <c r="L1075">
        <v>12640</v>
      </c>
      <c r="M1075">
        <v>-14.77</v>
      </c>
      <c r="N1075">
        <v>-3.44</v>
      </c>
      <c r="O1075">
        <v>4.5599999999999996</v>
      </c>
      <c r="P1075">
        <v>-9.27</v>
      </c>
      <c r="Q1075">
        <v>-6.76</v>
      </c>
      <c r="R1075">
        <v>-1.37</v>
      </c>
      <c r="S1075">
        <v>16.62</v>
      </c>
      <c r="T1075">
        <v>1.8</v>
      </c>
      <c r="U1075">
        <v>1.64</v>
      </c>
      <c r="V1075">
        <v>1.72</v>
      </c>
      <c r="W1075">
        <v>8.2100000000000009</v>
      </c>
      <c r="X1075">
        <v>2.4900000000000002</v>
      </c>
      <c r="Y1075">
        <v>3.34</v>
      </c>
      <c r="Z1075">
        <v>1.91</v>
      </c>
      <c r="AA1075">
        <v>2.78</v>
      </c>
      <c r="AB1075">
        <v>5.39</v>
      </c>
      <c r="AC1075">
        <v>0.82</v>
      </c>
      <c r="AD1075">
        <v>0.55000000000000004</v>
      </c>
      <c r="AE1075">
        <v>4.9800000000000004</v>
      </c>
      <c r="AF1075">
        <v>2.7383333333333328</v>
      </c>
      <c r="AG1075" t="str">
        <f>HYPERLINK("https://finance.naver.com/item/fchart.naver?code=036220", "오상헬스케어 차트보기")</f>
        <v>오상헬스케어 차트보기</v>
      </c>
    </row>
    <row r="1076" spans="1:33" x14ac:dyDescent="0.3">
      <c r="A1076" t="s">
        <v>4331</v>
      </c>
      <c r="B1076" t="s">
        <v>55</v>
      </c>
      <c r="C1076" t="s">
        <v>4332</v>
      </c>
      <c r="D1076">
        <v>86517.33</v>
      </c>
      <c r="E1076" t="s">
        <v>4333</v>
      </c>
      <c r="F1076">
        <v>7.63</v>
      </c>
      <c r="G1076">
        <v>1.2100000381469731</v>
      </c>
      <c r="H1076">
        <v>913</v>
      </c>
      <c r="I1076">
        <v>2.869999885559082</v>
      </c>
      <c r="J1076" t="s">
        <v>4334</v>
      </c>
      <c r="K1076">
        <v>11300</v>
      </c>
      <c r="L1076">
        <v>6970</v>
      </c>
      <c r="M1076">
        <v>-38.32</v>
      </c>
      <c r="N1076">
        <v>-2.2400000000000002</v>
      </c>
      <c r="O1076">
        <v>-3.45</v>
      </c>
      <c r="P1076">
        <v>-1.94</v>
      </c>
      <c r="Q1076">
        <v>-5.64</v>
      </c>
      <c r="R1076">
        <v>-10.7</v>
      </c>
      <c r="S1076">
        <v>-7</v>
      </c>
      <c r="T1076">
        <v>1.91</v>
      </c>
      <c r="U1076">
        <v>1.75</v>
      </c>
      <c r="V1076">
        <v>2.2599999999999998</v>
      </c>
      <c r="W1076">
        <v>3.09</v>
      </c>
      <c r="X1076">
        <v>1.73</v>
      </c>
      <c r="Y1076">
        <v>1.58</v>
      </c>
      <c r="Z1076">
        <v>1.17</v>
      </c>
      <c r="AA1076">
        <v>1.97</v>
      </c>
      <c r="AB1076">
        <v>0.86</v>
      </c>
      <c r="AC1076">
        <v>1.83</v>
      </c>
      <c r="AD1076">
        <v>6.18</v>
      </c>
      <c r="AE1076">
        <v>4.43</v>
      </c>
      <c r="AF1076">
        <v>2.74</v>
      </c>
      <c r="AG1076" t="str">
        <f>HYPERLINK("https://finance.naver.com/item/fchart.naver?code=060250", "NHN KCP 차트보기")</f>
        <v>NHN KCP 차트보기</v>
      </c>
    </row>
    <row r="1077" spans="1:33" x14ac:dyDescent="0.3">
      <c r="A1077" t="s">
        <v>4335</v>
      </c>
      <c r="B1077" t="s">
        <v>55</v>
      </c>
      <c r="C1077" t="s">
        <v>4336</v>
      </c>
      <c r="D1077">
        <v>42383.62</v>
      </c>
      <c r="E1077" t="s">
        <v>4337</v>
      </c>
      <c r="F1077">
        <v>0</v>
      </c>
      <c r="G1077">
        <v>0.2199999988079071</v>
      </c>
      <c r="H1077">
        <v>0</v>
      </c>
      <c r="I1077">
        <v>0</v>
      </c>
      <c r="J1077" t="s">
        <v>4338</v>
      </c>
      <c r="K1077">
        <v>2120</v>
      </c>
      <c r="L1077">
        <v>1006</v>
      </c>
      <c r="M1077">
        <v>-52.55</v>
      </c>
      <c r="N1077">
        <v>-10.26</v>
      </c>
      <c r="O1077">
        <v>-7.91</v>
      </c>
      <c r="P1077">
        <v>3.67</v>
      </c>
      <c r="Q1077">
        <v>-8.0299999999999994</v>
      </c>
      <c r="R1077">
        <v>-9.1199999999999992</v>
      </c>
      <c r="S1077">
        <v>-14.24</v>
      </c>
      <c r="T1077">
        <v>2.93</v>
      </c>
      <c r="U1077">
        <v>1.84</v>
      </c>
      <c r="V1077">
        <v>3.01</v>
      </c>
      <c r="W1077">
        <v>8.24</v>
      </c>
      <c r="X1077">
        <v>2.5</v>
      </c>
      <c r="Y1077">
        <v>5.07</v>
      </c>
      <c r="Z1077">
        <v>3.5</v>
      </c>
      <c r="AA1077">
        <v>4.3</v>
      </c>
      <c r="AB1077">
        <v>1.22</v>
      </c>
      <c r="AC1077">
        <v>0.97</v>
      </c>
      <c r="AD1077">
        <v>3.65</v>
      </c>
      <c r="AE1077">
        <v>2.81</v>
      </c>
      <c r="AF1077">
        <v>2.7416666666666671</v>
      </c>
      <c r="AG1077" t="str">
        <f>HYPERLINK("https://finance.naver.com/item/fchart.naver?code=031860", "에스유홀딩스 차트보기")</f>
        <v>에스유홀딩스 차트보기</v>
      </c>
    </row>
    <row r="1078" spans="1:33" x14ac:dyDescent="0.3">
      <c r="A1078" t="s">
        <v>4339</v>
      </c>
      <c r="B1078" t="s">
        <v>55</v>
      </c>
      <c r="C1078" t="s">
        <v>4340</v>
      </c>
      <c r="D1078">
        <v>1221619.29</v>
      </c>
      <c r="E1078" t="s">
        <v>4341</v>
      </c>
      <c r="F1078">
        <v>0</v>
      </c>
      <c r="G1078">
        <v>1.320000052452087</v>
      </c>
      <c r="H1078">
        <v>0</v>
      </c>
      <c r="I1078">
        <v>0</v>
      </c>
      <c r="J1078" t="s">
        <v>4342</v>
      </c>
      <c r="K1078">
        <v>539</v>
      </c>
      <c r="L1078">
        <v>566</v>
      </c>
      <c r="M1078">
        <v>5.01</v>
      </c>
      <c r="N1078">
        <v>1.62</v>
      </c>
      <c r="O1078">
        <v>15.2</v>
      </c>
      <c r="P1078">
        <v>0.43</v>
      </c>
      <c r="Q1078">
        <v>-10.039999999999999</v>
      </c>
      <c r="R1078">
        <v>-1.89</v>
      </c>
      <c r="S1078">
        <v>-7.55</v>
      </c>
      <c r="T1078">
        <v>3.07</v>
      </c>
      <c r="U1078">
        <v>2.34</v>
      </c>
      <c r="V1078">
        <v>2.4</v>
      </c>
      <c r="W1078">
        <v>2.77</v>
      </c>
      <c r="X1078">
        <v>2.64</v>
      </c>
      <c r="Y1078">
        <v>1.54</v>
      </c>
      <c r="Z1078">
        <v>0.53</v>
      </c>
      <c r="AA1078">
        <v>6.5</v>
      </c>
      <c r="AB1078">
        <v>0.18</v>
      </c>
      <c r="AC1078">
        <v>3.62</v>
      </c>
      <c r="AD1078">
        <v>0.72</v>
      </c>
      <c r="AE1078">
        <v>4.9000000000000004</v>
      </c>
      <c r="AF1078">
        <v>2.7416666666666671</v>
      </c>
      <c r="AG1078" t="str">
        <f>HYPERLINK("https://finance.naver.com/item/fchart.naver?code=195990", "에이비프로바이오 차트보기")</f>
        <v>에이비프로바이오 차트보기</v>
      </c>
    </row>
    <row r="1079" spans="1:33" x14ac:dyDescent="0.3">
      <c r="A1079" t="s">
        <v>4343</v>
      </c>
      <c r="B1079" t="s">
        <v>34</v>
      </c>
      <c r="C1079" t="s">
        <v>4344</v>
      </c>
      <c r="D1079">
        <v>238250.33</v>
      </c>
      <c r="E1079" t="s">
        <v>4345</v>
      </c>
      <c r="F1079">
        <v>0</v>
      </c>
      <c r="G1079">
        <v>1.7300000190734861</v>
      </c>
      <c r="H1079">
        <v>0</v>
      </c>
      <c r="I1079">
        <v>0</v>
      </c>
      <c r="J1079" t="s">
        <v>4346</v>
      </c>
      <c r="K1079">
        <v>7350</v>
      </c>
      <c r="L1079">
        <v>5600</v>
      </c>
      <c r="M1079">
        <v>-23.81</v>
      </c>
      <c r="N1079">
        <v>-9.39</v>
      </c>
      <c r="O1079">
        <v>-1.88</v>
      </c>
      <c r="P1079">
        <v>-6.82</v>
      </c>
      <c r="Q1079">
        <v>1.84</v>
      </c>
      <c r="R1079">
        <v>-15.51</v>
      </c>
      <c r="S1079">
        <v>-2.27</v>
      </c>
      <c r="T1079">
        <v>2.33</v>
      </c>
      <c r="U1079">
        <v>2.33</v>
      </c>
      <c r="V1079">
        <v>4.01</v>
      </c>
      <c r="W1079">
        <v>3.71</v>
      </c>
      <c r="X1079">
        <v>1.9</v>
      </c>
      <c r="Y1079">
        <v>1.8</v>
      </c>
      <c r="Z1079">
        <v>4.03</v>
      </c>
      <c r="AA1079">
        <v>0.81</v>
      </c>
      <c r="AB1079">
        <v>1.7</v>
      </c>
      <c r="AC1079">
        <v>0.5</v>
      </c>
      <c r="AD1079">
        <v>8.16</v>
      </c>
      <c r="AE1079">
        <v>1.26</v>
      </c>
      <c r="AF1079">
        <v>2.7433333333333341</v>
      </c>
      <c r="AG1079" t="str">
        <f>HYPERLINK("https://finance.naver.com/item/fchart.naver?code=093370", "후성 차트보기")</f>
        <v>후성 차트보기</v>
      </c>
    </row>
    <row r="1080" spans="1:33" x14ac:dyDescent="0.3">
      <c r="A1080" t="s">
        <v>4347</v>
      </c>
      <c r="B1080" t="s">
        <v>34</v>
      </c>
      <c r="C1080" t="s">
        <v>4348</v>
      </c>
      <c r="D1080">
        <v>390248.14</v>
      </c>
      <c r="E1080" t="s">
        <v>4349</v>
      </c>
      <c r="F1080">
        <v>22.74</v>
      </c>
      <c r="G1080">
        <v>0.81999999284744263</v>
      </c>
      <c r="H1080">
        <v>3954</v>
      </c>
      <c r="I1080">
        <v>0.88999998569488525</v>
      </c>
      <c r="J1080" t="s">
        <v>4350</v>
      </c>
      <c r="K1080">
        <v>98800</v>
      </c>
      <c r="L1080">
        <v>89900</v>
      </c>
      <c r="M1080">
        <v>-9.01</v>
      </c>
      <c r="N1080">
        <v>-0.99</v>
      </c>
      <c r="O1080">
        <v>-13.11</v>
      </c>
      <c r="P1080">
        <v>2.66</v>
      </c>
      <c r="Q1080">
        <v>-4.1500000000000004</v>
      </c>
      <c r="R1080">
        <v>-5.1100000000000003</v>
      </c>
      <c r="S1080">
        <v>7.57</v>
      </c>
      <c r="T1080">
        <v>1.1200000000000001</v>
      </c>
      <c r="U1080">
        <v>2.15</v>
      </c>
      <c r="V1080">
        <v>2.74</v>
      </c>
      <c r="W1080">
        <v>2.74</v>
      </c>
      <c r="X1080">
        <v>1.59</v>
      </c>
      <c r="Y1080">
        <v>1.99</v>
      </c>
      <c r="Z1080">
        <v>0.88</v>
      </c>
      <c r="AA1080">
        <v>6.1</v>
      </c>
      <c r="AB1080">
        <v>0.97</v>
      </c>
      <c r="AC1080">
        <v>1.51</v>
      </c>
      <c r="AD1080">
        <v>3.21</v>
      </c>
      <c r="AE1080">
        <v>3.8</v>
      </c>
      <c r="AF1080">
        <v>2.7450000000000001</v>
      </c>
      <c r="AG1080" t="str">
        <f>HYPERLINK("https://finance.naver.com/item/fchart.naver?code=066570", "LG전자 차트보기")</f>
        <v>LG전자 차트보기</v>
      </c>
    </row>
    <row r="1081" spans="1:33" x14ac:dyDescent="0.3">
      <c r="A1081" t="s">
        <v>4351</v>
      </c>
      <c r="B1081" t="s">
        <v>55</v>
      </c>
      <c r="C1081" t="s">
        <v>4352</v>
      </c>
      <c r="D1081">
        <v>39942</v>
      </c>
      <c r="E1081" t="s">
        <v>4353</v>
      </c>
      <c r="F1081">
        <v>7.05</v>
      </c>
      <c r="G1081">
        <v>1.080000042915344</v>
      </c>
      <c r="H1081">
        <v>468</v>
      </c>
      <c r="I1081">
        <v>9.0900001525878906</v>
      </c>
      <c r="J1081" t="s">
        <v>4354</v>
      </c>
      <c r="K1081">
        <v>4020</v>
      </c>
      <c r="L1081">
        <v>3300</v>
      </c>
      <c r="M1081">
        <v>-17.91</v>
      </c>
      <c r="N1081">
        <v>-0.3</v>
      </c>
      <c r="O1081">
        <v>-6.33</v>
      </c>
      <c r="P1081">
        <v>-4.8600000000000003</v>
      </c>
      <c r="Q1081">
        <v>3.54</v>
      </c>
      <c r="R1081">
        <v>-5.26</v>
      </c>
      <c r="S1081">
        <v>-10.91</v>
      </c>
      <c r="T1081">
        <v>1.96</v>
      </c>
      <c r="U1081">
        <v>1.41</v>
      </c>
      <c r="V1081">
        <v>2</v>
      </c>
      <c r="W1081">
        <v>4.16</v>
      </c>
      <c r="X1081">
        <v>2.2400000000000002</v>
      </c>
      <c r="Y1081">
        <v>1.76</v>
      </c>
      <c r="Z1081">
        <v>0.15</v>
      </c>
      <c r="AA1081">
        <v>4.49</v>
      </c>
      <c r="AB1081">
        <v>2.4300000000000002</v>
      </c>
      <c r="AC1081">
        <v>0.85</v>
      </c>
      <c r="AD1081">
        <v>2.35</v>
      </c>
      <c r="AE1081">
        <v>6.2</v>
      </c>
      <c r="AF1081">
        <v>2.7450000000000001</v>
      </c>
      <c r="AG1081" t="str">
        <f>HYPERLINK("https://finance.naver.com/item/fchart.naver?code=352090", "스톰테크 차트보기")</f>
        <v>스톰테크 차트보기</v>
      </c>
    </row>
    <row r="1082" spans="1:33" x14ac:dyDescent="0.3">
      <c r="A1082" t="s">
        <v>4355</v>
      </c>
      <c r="B1082" t="s">
        <v>55</v>
      </c>
      <c r="C1082" t="s">
        <v>4356</v>
      </c>
      <c r="D1082">
        <v>257444.9</v>
      </c>
      <c r="E1082" t="s">
        <v>4357</v>
      </c>
      <c r="F1082">
        <v>21.96</v>
      </c>
      <c r="G1082">
        <v>3.0399999618530269</v>
      </c>
      <c r="H1082">
        <v>398</v>
      </c>
      <c r="I1082">
        <v>0.92000001668930054</v>
      </c>
      <c r="J1082" t="s">
        <v>4358</v>
      </c>
      <c r="K1082">
        <v>8630</v>
      </c>
      <c r="L1082">
        <v>8740</v>
      </c>
      <c r="M1082">
        <v>1.27</v>
      </c>
      <c r="N1082">
        <v>5.94</v>
      </c>
      <c r="O1082">
        <v>8.57</v>
      </c>
      <c r="P1082">
        <v>3.44</v>
      </c>
      <c r="Q1082">
        <v>4.46</v>
      </c>
      <c r="R1082">
        <v>-17.510000000000002</v>
      </c>
      <c r="S1082">
        <v>2.16</v>
      </c>
      <c r="T1082">
        <v>2.41</v>
      </c>
      <c r="U1082">
        <v>2.5099999999999998</v>
      </c>
      <c r="V1082">
        <v>2.59</v>
      </c>
      <c r="W1082">
        <v>4.37</v>
      </c>
      <c r="X1082">
        <v>2.34</v>
      </c>
      <c r="Y1082">
        <v>2.77</v>
      </c>
      <c r="Z1082">
        <v>2.46</v>
      </c>
      <c r="AA1082">
        <v>3.41</v>
      </c>
      <c r="AB1082">
        <v>1.33</v>
      </c>
      <c r="AC1082">
        <v>1.02</v>
      </c>
      <c r="AD1082">
        <v>7.48</v>
      </c>
      <c r="AE1082">
        <v>0.78</v>
      </c>
      <c r="AF1082">
        <v>2.746666666666667</v>
      </c>
      <c r="AG1082" t="str">
        <f>HYPERLINK("https://finance.naver.com/item/fchart.naver?code=179290", "엠아이텍 차트보기")</f>
        <v>엠아이텍 차트보기</v>
      </c>
    </row>
    <row r="1083" spans="1:33" x14ac:dyDescent="0.3">
      <c r="A1083" t="s">
        <v>4359</v>
      </c>
      <c r="B1083" t="s">
        <v>34</v>
      </c>
      <c r="C1083" t="s">
        <v>4360</v>
      </c>
      <c r="D1083">
        <v>90792.14</v>
      </c>
      <c r="E1083" t="s">
        <v>4361</v>
      </c>
      <c r="F1083">
        <v>15.16</v>
      </c>
      <c r="G1083">
        <v>2.160000085830688</v>
      </c>
      <c r="H1083">
        <v>5753</v>
      </c>
      <c r="I1083">
        <v>0.62999999523162842</v>
      </c>
      <c r="J1083" t="s">
        <v>4362</v>
      </c>
      <c r="K1083">
        <v>50800</v>
      </c>
      <c r="L1083">
        <v>87200</v>
      </c>
      <c r="M1083">
        <v>71.650000000000006</v>
      </c>
      <c r="N1083">
        <v>0.81</v>
      </c>
      <c r="O1083">
        <v>20.75</v>
      </c>
      <c r="P1083">
        <v>1.57</v>
      </c>
      <c r="Q1083">
        <v>16.02</v>
      </c>
      <c r="R1083">
        <v>12.11</v>
      </c>
      <c r="S1083">
        <v>-4.8499999999999996</v>
      </c>
      <c r="T1083">
        <v>2.16</v>
      </c>
      <c r="U1083">
        <v>3.29</v>
      </c>
      <c r="V1083">
        <v>2.52</v>
      </c>
      <c r="W1083">
        <v>5.28</v>
      </c>
      <c r="X1083">
        <v>2.85</v>
      </c>
      <c r="Y1083">
        <v>2.56</v>
      </c>
      <c r="Z1083">
        <v>0.38</v>
      </c>
      <c r="AA1083">
        <v>6.31</v>
      </c>
      <c r="AB1083">
        <v>0.62</v>
      </c>
      <c r="AC1083">
        <v>3.03</v>
      </c>
      <c r="AD1083">
        <v>4.25</v>
      </c>
      <c r="AE1083">
        <v>1.89</v>
      </c>
      <c r="AF1083">
        <v>2.746666666666667</v>
      </c>
      <c r="AG1083" t="str">
        <f>HYPERLINK("https://finance.naver.com/item/fchart.naver?code=009450", "경동나비엔 차트보기")</f>
        <v>경동나비엔 차트보기</v>
      </c>
    </row>
    <row r="1084" spans="1:33" x14ac:dyDescent="0.3">
      <c r="A1084" t="s">
        <v>4363</v>
      </c>
      <c r="B1084" t="s">
        <v>34</v>
      </c>
      <c r="C1084" t="s">
        <v>4364</v>
      </c>
      <c r="D1084">
        <v>108779.71</v>
      </c>
      <c r="E1084" t="s">
        <v>4365</v>
      </c>
      <c r="F1084">
        <v>4.74</v>
      </c>
      <c r="G1084">
        <v>1.559999942779541</v>
      </c>
      <c r="H1084">
        <v>11144</v>
      </c>
      <c r="I1084">
        <v>3.220000028610229</v>
      </c>
      <c r="J1084" t="s">
        <v>4366</v>
      </c>
      <c r="K1084">
        <v>67800</v>
      </c>
      <c r="L1084">
        <v>52800</v>
      </c>
      <c r="M1084">
        <v>-22.12</v>
      </c>
      <c r="N1084">
        <v>-14.15</v>
      </c>
      <c r="O1084">
        <v>-10.59</v>
      </c>
      <c r="P1084">
        <v>16.89</v>
      </c>
      <c r="Q1084">
        <v>1.56</v>
      </c>
      <c r="R1084">
        <v>-7.99</v>
      </c>
      <c r="S1084">
        <v>-3.7</v>
      </c>
      <c r="T1084">
        <v>4.22</v>
      </c>
      <c r="U1084">
        <v>3.02</v>
      </c>
      <c r="V1084">
        <v>2.73</v>
      </c>
      <c r="W1084">
        <v>3.6</v>
      </c>
      <c r="X1084">
        <v>6.16</v>
      </c>
      <c r="Y1084">
        <v>2.16</v>
      </c>
      <c r="Z1084">
        <v>3.35</v>
      </c>
      <c r="AA1084">
        <v>3.51</v>
      </c>
      <c r="AB1084">
        <v>6.19</v>
      </c>
      <c r="AC1084">
        <v>0.43</v>
      </c>
      <c r="AD1084">
        <v>1.3</v>
      </c>
      <c r="AE1084">
        <v>1.71</v>
      </c>
      <c r="AF1084">
        <v>2.748333333333334</v>
      </c>
      <c r="AG1084" t="str">
        <f>HYPERLINK("https://finance.naver.com/item/fchart.naver?code=383220", "F&amp;F 차트보기")</f>
        <v>F&amp;F 차트보기</v>
      </c>
    </row>
    <row r="1085" spans="1:33" x14ac:dyDescent="0.3">
      <c r="A1085" t="s">
        <v>4367</v>
      </c>
      <c r="B1085" t="s">
        <v>55</v>
      </c>
      <c r="C1085" t="s">
        <v>4368</v>
      </c>
      <c r="D1085">
        <v>976959.95</v>
      </c>
      <c r="E1085" t="s">
        <v>4369</v>
      </c>
      <c r="F1085">
        <v>0</v>
      </c>
      <c r="G1085">
        <v>14.94999980926514</v>
      </c>
      <c r="H1085">
        <v>0</v>
      </c>
      <c r="I1085">
        <v>0</v>
      </c>
      <c r="J1085" t="s">
        <v>4370</v>
      </c>
      <c r="K1085">
        <v>95800</v>
      </c>
      <c r="L1085">
        <v>60300</v>
      </c>
      <c r="M1085">
        <v>-37.06</v>
      </c>
      <c r="N1085">
        <v>-5.49</v>
      </c>
      <c r="O1085">
        <v>-21.99</v>
      </c>
      <c r="P1085">
        <v>-4.99</v>
      </c>
      <c r="Q1085">
        <v>8.4499999999999993</v>
      </c>
      <c r="R1085">
        <v>29.07</v>
      </c>
      <c r="S1085">
        <v>2.09</v>
      </c>
      <c r="T1085">
        <v>2.9</v>
      </c>
      <c r="U1085">
        <v>3.55</v>
      </c>
      <c r="V1085">
        <v>2.66</v>
      </c>
      <c r="W1085">
        <v>3.75</v>
      </c>
      <c r="X1085">
        <v>7.58</v>
      </c>
      <c r="Y1085">
        <v>4.72</v>
      </c>
      <c r="Z1085">
        <v>1.89</v>
      </c>
      <c r="AA1085">
        <v>6.19</v>
      </c>
      <c r="AB1085">
        <v>1.88</v>
      </c>
      <c r="AC1085">
        <v>2.25</v>
      </c>
      <c r="AD1085">
        <v>3.84</v>
      </c>
      <c r="AE1085">
        <v>0.44</v>
      </c>
      <c r="AF1085">
        <v>2.748333333333334</v>
      </c>
      <c r="AG1085" t="str">
        <f>HYPERLINK("https://finance.naver.com/item/fchart.naver?code=028300", "HLB 차트보기")</f>
        <v>HLB 차트보기</v>
      </c>
    </row>
    <row r="1086" spans="1:33" x14ac:dyDescent="0.3">
      <c r="A1086" t="s">
        <v>4371</v>
      </c>
      <c r="B1086" t="s">
        <v>34</v>
      </c>
      <c r="C1086" t="s">
        <v>4372</v>
      </c>
      <c r="D1086">
        <v>54299.29</v>
      </c>
      <c r="E1086" t="s">
        <v>4373</v>
      </c>
      <c r="F1086">
        <v>10.59</v>
      </c>
      <c r="G1086">
        <v>0.68999999761581421</v>
      </c>
      <c r="H1086">
        <v>196</v>
      </c>
      <c r="I1086">
        <v>1.929999947547913</v>
      </c>
      <c r="J1086" t="s">
        <v>4374</v>
      </c>
      <c r="K1086">
        <v>3325</v>
      </c>
      <c r="L1086">
        <v>2075</v>
      </c>
      <c r="M1086">
        <v>-37.590000000000003</v>
      </c>
      <c r="N1086">
        <v>-6.53</v>
      </c>
      <c r="O1086">
        <v>-0.43</v>
      </c>
      <c r="P1086">
        <v>-3.62</v>
      </c>
      <c r="Q1086">
        <v>-11.59</v>
      </c>
      <c r="R1086">
        <v>-14.71</v>
      </c>
      <c r="S1086">
        <v>0.81</v>
      </c>
      <c r="T1086">
        <v>2.36</v>
      </c>
      <c r="U1086">
        <v>1.78</v>
      </c>
      <c r="V1086">
        <v>2.48</v>
      </c>
      <c r="W1086">
        <v>3.97</v>
      </c>
      <c r="X1086">
        <v>1.73</v>
      </c>
      <c r="Y1086">
        <v>1.36</v>
      </c>
      <c r="Z1086">
        <v>2.77</v>
      </c>
      <c r="AA1086">
        <v>0.24</v>
      </c>
      <c r="AB1086">
        <v>1.46</v>
      </c>
      <c r="AC1086">
        <v>2.92</v>
      </c>
      <c r="AD1086">
        <v>8.5</v>
      </c>
      <c r="AE1086">
        <v>0.6</v>
      </c>
      <c r="AF1086">
        <v>2.748333333333334</v>
      </c>
      <c r="AG1086" t="str">
        <f>HYPERLINK("https://finance.naver.com/item/fchart.naver?code=450140", "코오롱모빌리티그룹 차트보기")</f>
        <v>코오롱모빌리티그룹 차트보기</v>
      </c>
    </row>
    <row r="1087" spans="1:33" x14ac:dyDescent="0.3">
      <c r="A1087" t="s">
        <v>4375</v>
      </c>
      <c r="B1087" t="s">
        <v>55</v>
      </c>
      <c r="C1087" t="s">
        <v>4376</v>
      </c>
      <c r="D1087">
        <v>15071.52</v>
      </c>
      <c r="E1087" t="s">
        <v>4377</v>
      </c>
      <c r="F1087">
        <v>6.7</v>
      </c>
      <c r="G1087">
        <v>0.93999999761581421</v>
      </c>
      <c r="H1087">
        <v>1911</v>
      </c>
      <c r="I1087">
        <v>2.809999942779541</v>
      </c>
      <c r="J1087" t="s">
        <v>4378</v>
      </c>
      <c r="K1087">
        <v>13630</v>
      </c>
      <c r="L1087">
        <v>12800</v>
      </c>
      <c r="M1087">
        <v>-6.09</v>
      </c>
      <c r="N1087">
        <v>3.56</v>
      </c>
      <c r="O1087">
        <v>-0.64</v>
      </c>
      <c r="P1087">
        <v>-4.99</v>
      </c>
      <c r="Q1087">
        <v>0.53</v>
      </c>
      <c r="R1087">
        <v>-4.45</v>
      </c>
      <c r="S1087">
        <v>-0.15</v>
      </c>
      <c r="T1087">
        <v>1.48</v>
      </c>
      <c r="U1087">
        <v>0.42</v>
      </c>
      <c r="V1087">
        <v>0.83</v>
      </c>
      <c r="W1087">
        <v>2.06</v>
      </c>
      <c r="X1087">
        <v>0.72</v>
      </c>
      <c r="Y1087">
        <v>1.21</v>
      </c>
      <c r="Z1087">
        <v>2.41</v>
      </c>
      <c r="AA1087">
        <v>1.52</v>
      </c>
      <c r="AB1087">
        <v>6.01</v>
      </c>
      <c r="AC1087">
        <v>0.26</v>
      </c>
      <c r="AD1087">
        <v>6.18</v>
      </c>
      <c r="AE1087">
        <v>0.12</v>
      </c>
      <c r="AF1087">
        <v>2.75</v>
      </c>
      <c r="AG1087" t="str">
        <f>HYPERLINK("https://finance.naver.com/item/fchart.naver?code=214180", "헥토이노베이션 차트보기")</f>
        <v>헥토이노베이션 차트보기</v>
      </c>
    </row>
    <row r="1088" spans="1:33" x14ac:dyDescent="0.3">
      <c r="A1088" t="s">
        <v>4379</v>
      </c>
      <c r="B1088" t="s">
        <v>34</v>
      </c>
      <c r="C1088" t="s">
        <v>4380</v>
      </c>
      <c r="D1088">
        <v>85389.52</v>
      </c>
      <c r="E1088" t="s">
        <v>4381</v>
      </c>
      <c r="J1088" t="s">
        <v>4382</v>
      </c>
      <c r="K1088">
        <v>4250</v>
      </c>
      <c r="L1088">
        <v>3260</v>
      </c>
      <c r="M1088">
        <v>-23.29</v>
      </c>
      <c r="N1088">
        <v>-7.25</v>
      </c>
      <c r="O1088">
        <v>-6.28</v>
      </c>
      <c r="P1088">
        <v>-0.79</v>
      </c>
      <c r="Q1088">
        <v>-10.71</v>
      </c>
      <c r="R1088">
        <v>2.1</v>
      </c>
      <c r="S1088">
        <v>0.12</v>
      </c>
      <c r="T1088">
        <v>1.51</v>
      </c>
      <c r="U1088">
        <v>1.52</v>
      </c>
      <c r="V1088">
        <v>1.3</v>
      </c>
      <c r="W1088">
        <v>2.13</v>
      </c>
      <c r="X1088">
        <v>1.1299999999999999</v>
      </c>
      <c r="Y1088">
        <v>1.45</v>
      </c>
      <c r="Z1088">
        <v>4.8</v>
      </c>
      <c r="AA1088">
        <v>4.13</v>
      </c>
      <c r="AB1088">
        <v>0.61</v>
      </c>
      <c r="AC1088">
        <v>5.03</v>
      </c>
      <c r="AD1088">
        <v>1.86</v>
      </c>
      <c r="AE1088">
        <v>0.08</v>
      </c>
      <c r="AF1088">
        <v>2.751666666666666</v>
      </c>
      <c r="AG1088" t="str">
        <f>HYPERLINK("https://finance.naver.com/item/fchart.naver?code=404990", "신한서부티엔디리츠 차트보기")</f>
        <v>신한서부티엔디리츠 차트보기</v>
      </c>
    </row>
    <row r="1089" spans="1:33" x14ac:dyDescent="0.3">
      <c r="A1089" t="s">
        <v>4383</v>
      </c>
      <c r="B1089" t="s">
        <v>55</v>
      </c>
      <c r="C1089" t="s">
        <v>4384</v>
      </c>
      <c r="D1089">
        <v>3920.57</v>
      </c>
      <c r="E1089" t="s">
        <v>4385</v>
      </c>
      <c r="F1089">
        <v>525.83000000000004</v>
      </c>
      <c r="G1089">
        <v>0.40999999642372131</v>
      </c>
      <c r="H1089">
        <v>6</v>
      </c>
      <c r="I1089">
        <v>0</v>
      </c>
      <c r="J1089" t="s">
        <v>4386</v>
      </c>
      <c r="K1089">
        <v>5010</v>
      </c>
      <c r="L1089">
        <v>3155</v>
      </c>
      <c r="M1089">
        <v>-37.03</v>
      </c>
      <c r="N1089">
        <v>-2.3199999999999998</v>
      </c>
      <c r="O1089">
        <v>-1.36</v>
      </c>
      <c r="P1089">
        <v>2.95</v>
      </c>
      <c r="Q1089">
        <v>-12.38</v>
      </c>
      <c r="R1089">
        <v>-2.9</v>
      </c>
      <c r="S1089">
        <v>-15.13</v>
      </c>
      <c r="T1089">
        <v>1.06</v>
      </c>
      <c r="U1089">
        <v>1.42</v>
      </c>
      <c r="V1089">
        <v>1.37</v>
      </c>
      <c r="W1089">
        <v>3.15</v>
      </c>
      <c r="X1089">
        <v>1.57</v>
      </c>
      <c r="Y1089">
        <v>2.78</v>
      </c>
      <c r="Z1089">
        <v>2.19</v>
      </c>
      <c r="AA1089">
        <v>0.96</v>
      </c>
      <c r="AB1089">
        <v>2.15</v>
      </c>
      <c r="AC1089">
        <v>3.93</v>
      </c>
      <c r="AD1089">
        <v>1.85</v>
      </c>
      <c r="AE1089">
        <v>5.44</v>
      </c>
      <c r="AF1089">
        <v>2.753333333333333</v>
      </c>
      <c r="AG1089" t="str">
        <f>HYPERLINK("https://finance.naver.com/item/fchart.naver?code=033200", "모아텍 차트보기")</f>
        <v>모아텍 차트보기</v>
      </c>
    </row>
    <row r="1090" spans="1:33" x14ac:dyDescent="0.3">
      <c r="A1090" t="s">
        <v>4387</v>
      </c>
      <c r="B1090" t="s">
        <v>55</v>
      </c>
      <c r="C1090" t="s">
        <v>4388</v>
      </c>
      <c r="D1090">
        <v>19045.189999999999</v>
      </c>
      <c r="E1090" t="s">
        <v>4389</v>
      </c>
      <c r="F1090">
        <v>72.89</v>
      </c>
      <c r="G1090">
        <v>1.5199999809265139</v>
      </c>
      <c r="H1090">
        <v>38</v>
      </c>
      <c r="I1090">
        <v>0</v>
      </c>
      <c r="J1090" t="s">
        <v>4390</v>
      </c>
      <c r="K1090">
        <v>2860</v>
      </c>
      <c r="L1090">
        <v>2770</v>
      </c>
      <c r="M1090">
        <v>-3.15</v>
      </c>
      <c r="N1090">
        <v>-6.42</v>
      </c>
      <c r="O1090">
        <v>-0.88</v>
      </c>
      <c r="P1090">
        <v>1.24</v>
      </c>
      <c r="Q1090">
        <v>-6.89</v>
      </c>
      <c r="R1090">
        <v>-8.4499999999999993</v>
      </c>
      <c r="S1090">
        <v>9.6</v>
      </c>
      <c r="T1090">
        <v>2.59</v>
      </c>
      <c r="U1090">
        <v>1.75</v>
      </c>
      <c r="V1090">
        <v>2.37</v>
      </c>
      <c r="W1090">
        <v>3.63</v>
      </c>
      <c r="X1090">
        <v>2.0299999999999998</v>
      </c>
      <c r="Y1090">
        <v>1.38</v>
      </c>
      <c r="Z1090">
        <v>2.48</v>
      </c>
      <c r="AA1090">
        <v>0.5</v>
      </c>
      <c r="AB1090">
        <v>0.52</v>
      </c>
      <c r="AC1090">
        <v>1.9</v>
      </c>
      <c r="AD1090">
        <v>4.16</v>
      </c>
      <c r="AE1090">
        <v>6.96</v>
      </c>
      <c r="AF1090">
        <v>2.753333333333333</v>
      </c>
      <c r="AG1090" t="str">
        <f>HYPERLINK("https://finance.naver.com/item/fchart.naver?code=303360", "프로티아 차트보기")</f>
        <v>프로티아 차트보기</v>
      </c>
    </row>
    <row r="1091" spans="1:33" x14ac:dyDescent="0.3">
      <c r="A1091" t="s">
        <v>4391</v>
      </c>
      <c r="B1091" t="s">
        <v>55</v>
      </c>
      <c r="C1091" t="s">
        <v>4392</v>
      </c>
      <c r="D1091">
        <v>1193866.48</v>
      </c>
      <c r="E1091" t="s">
        <v>4393</v>
      </c>
      <c r="F1091">
        <v>5.03</v>
      </c>
      <c r="G1091">
        <v>0.62000000476837158</v>
      </c>
      <c r="H1091">
        <v>1049</v>
      </c>
      <c r="I1091">
        <v>1.889999985694885</v>
      </c>
      <c r="J1091" t="s">
        <v>4394</v>
      </c>
      <c r="K1091">
        <v>5280</v>
      </c>
      <c r="L1091">
        <v>5280</v>
      </c>
      <c r="M1091">
        <v>0</v>
      </c>
      <c r="N1091">
        <v>-2.04</v>
      </c>
      <c r="O1091">
        <v>4.92</v>
      </c>
      <c r="P1091">
        <v>-0.39</v>
      </c>
      <c r="Q1091">
        <v>-6.72</v>
      </c>
      <c r="R1091">
        <v>-13.72</v>
      </c>
      <c r="S1091">
        <v>28.17</v>
      </c>
      <c r="T1091">
        <v>3.79</v>
      </c>
      <c r="U1091">
        <v>7.26</v>
      </c>
      <c r="V1091">
        <v>0.86</v>
      </c>
      <c r="W1091">
        <v>2.33</v>
      </c>
      <c r="X1091">
        <v>2.06</v>
      </c>
      <c r="Y1091">
        <v>5.3</v>
      </c>
      <c r="Z1091">
        <v>0.54</v>
      </c>
      <c r="AA1091">
        <v>0.68</v>
      </c>
      <c r="AB1091">
        <v>0.45</v>
      </c>
      <c r="AC1091">
        <v>2.88</v>
      </c>
      <c r="AD1091">
        <v>6.66</v>
      </c>
      <c r="AE1091">
        <v>5.32</v>
      </c>
      <c r="AF1091">
        <v>2.7549999999999999</v>
      </c>
      <c r="AG1091" t="str">
        <f>HYPERLINK("https://finance.naver.com/item/fchart.naver?code=009780", "엠에스씨 차트보기")</f>
        <v>엠에스씨 차트보기</v>
      </c>
    </row>
    <row r="1092" spans="1:33" x14ac:dyDescent="0.3">
      <c r="A1092" t="s">
        <v>4395</v>
      </c>
      <c r="B1092" t="s">
        <v>34</v>
      </c>
      <c r="C1092" t="s">
        <v>4396</v>
      </c>
      <c r="D1092">
        <v>35956.379999999997</v>
      </c>
      <c r="E1092" t="s">
        <v>4397</v>
      </c>
      <c r="F1092">
        <v>3.97</v>
      </c>
      <c r="G1092">
        <v>0.239999994635582</v>
      </c>
      <c r="H1092">
        <v>3818</v>
      </c>
      <c r="I1092">
        <v>4.9499998092651367</v>
      </c>
      <c r="J1092" t="s">
        <v>4398</v>
      </c>
      <c r="K1092">
        <v>18860</v>
      </c>
      <c r="L1092">
        <v>15160</v>
      </c>
      <c r="M1092">
        <v>-19.62</v>
      </c>
      <c r="N1092">
        <v>-2.57</v>
      </c>
      <c r="O1092">
        <v>-5.4</v>
      </c>
      <c r="P1092">
        <v>1.72</v>
      </c>
      <c r="Q1092">
        <v>-7.33</v>
      </c>
      <c r="R1092">
        <v>-1.02</v>
      </c>
      <c r="S1092">
        <v>-2.7</v>
      </c>
      <c r="T1092">
        <v>0.81</v>
      </c>
      <c r="U1092">
        <v>1.85</v>
      </c>
      <c r="V1092">
        <v>1.0900000000000001</v>
      </c>
      <c r="W1092">
        <v>1.71</v>
      </c>
      <c r="X1092">
        <v>1.24</v>
      </c>
      <c r="Y1092">
        <v>0.72</v>
      </c>
      <c r="Z1092">
        <v>3.17</v>
      </c>
      <c r="AA1092">
        <v>2.92</v>
      </c>
      <c r="AB1092">
        <v>1.58</v>
      </c>
      <c r="AC1092">
        <v>4.29</v>
      </c>
      <c r="AD1092">
        <v>0.82</v>
      </c>
      <c r="AE1092">
        <v>3.75</v>
      </c>
      <c r="AF1092">
        <v>2.7549999999999999</v>
      </c>
      <c r="AG1092" t="str">
        <f>HYPERLINK("https://finance.naver.com/item/fchart.naver?code=020000", "한섬 차트보기")</f>
        <v>한섬 차트보기</v>
      </c>
    </row>
    <row r="1093" spans="1:33" x14ac:dyDescent="0.3">
      <c r="A1093" t="s">
        <v>4399</v>
      </c>
      <c r="B1093" t="s">
        <v>55</v>
      </c>
      <c r="C1093" t="s">
        <v>4400</v>
      </c>
      <c r="D1093">
        <v>33260.67</v>
      </c>
      <c r="E1093" t="s">
        <v>4401</v>
      </c>
      <c r="F1093">
        <v>14.2</v>
      </c>
      <c r="G1093">
        <v>0.52999997138977051</v>
      </c>
      <c r="H1093">
        <v>904</v>
      </c>
      <c r="I1093">
        <v>0</v>
      </c>
      <c r="J1093" t="s">
        <v>4402</v>
      </c>
      <c r="K1093">
        <v>16500</v>
      </c>
      <c r="L1093">
        <v>12840</v>
      </c>
      <c r="M1093">
        <v>-22.18</v>
      </c>
      <c r="N1093">
        <v>11.56</v>
      </c>
      <c r="O1093">
        <v>-4.75</v>
      </c>
      <c r="P1093">
        <v>-1.1499999999999999</v>
      </c>
      <c r="Q1093">
        <v>-10.76</v>
      </c>
      <c r="R1093">
        <v>-0.51</v>
      </c>
      <c r="S1093">
        <v>-15.08</v>
      </c>
      <c r="T1093">
        <v>2.36</v>
      </c>
      <c r="U1093">
        <v>1.72</v>
      </c>
      <c r="V1093">
        <v>2.56</v>
      </c>
      <c r="W1093">
        <v>3.55</v>
      </c>
      <c r="X1093">
        <v>2.16</v>
      </c>
      <c r="Y1093">
        <v>2.92</v>
      </c>
      <c r="Z1093">
        <v>4.9000000000000004</v>
      </c>
      <c r="AA1093">
        <v>2.76</v>
      </c>
      <c r="AB1093">
        <v>0.45</v>
      </c>
      <c r="AC1093">
        <v>3.03</v>
      </c>
      <c r="AD1093">
        <v>0.24</v>
      </c>
      <c r="AE1093">
        <v>5.16</v>
      </c>
      <c r="AF1093">
        <v>2.7566666666666659</v>
      </c>
      <c r="AG1093" t="str">
        <f>HYPERLINK("https://finance.naver.com/item/fchart.naver?code=108380", "대양전기공업 차트보기")</f>
        <v>대양전기공업 차트보기</v>
      </c>
    </row>
    <row r="1094" spans="1:33" x14ac:dyDescent="0.3">
      <c r="A1094" t="s">
        <v>4403</v>
      </c>
      <c r="B1094" t="s">
        <v>34</v>
      </c>
      <c r="C1094" t="s">
        <v>4404</v>
      </c>
      <c r="D1094">
        <v>1705087.48</v>
      </c>
      <c r="E1094" t="s">
        <v>4405</v>
      </c>
      <c r="F1094">
        <v>2.04</v>
      </c>
      <c r="G1094">
        <v>0.64999997615814209</v>
      </c>
      <c r="H1094">
        <v>5470</v>
      </c>
      <c r="I1094">
        <v>6.2699999809265137</v>
      </c>
      <c r="J1094" t="s">
        <v>4406</v>
      </c>
      <c r="K1094">
        <v>7910</v>
      </c>
      <c r="L1094">
        <v>11170</v>
      </c>
      <c r="M1094">
        <v>41.21</v>
      </c>
      <c r="N1094">
        <v>27.66</v>
      </c>
      <c r="O1094">
        <v>11.5</v>
      </c>
      <c r="P1094">
        <v>-5.34</v>
      </c>
      <c r="Q1094">
        <v>-7.96</v>
      </c>
      <c r="R1094">
        <v>-10.57</v>
      </c>
      <c r="S1094">
        <v>34.18</v>
      </c>
      <c r="T1094">
        <v>6.79</v>
      </c>
      <c r="U1094">
        <v>4.7300000000000004</v>
      </c>
      <c r="V1094">
        <v>2.59</v>
      </c>
      <c r="W1094">
        <v>4.6399999999999997</v>
      </c>
      <c r="X1094">
        <v>3.53</v>
      </c>
      <c r="Y1094">
        <v>10.46</v>
      </c>
      <c r="Z1094">
        <v>4.07</v>
      </c>
      <c r="AA1094">
        <v>2.4300000000000002</v>
      </c>
      <c r="AB1094">
        <v>2.06</v>
      </c>
      <c r="AC1094">
        <v>1.72</v>
      </c>
      <c r="AD1094">
        <v>2.99</v>
      </c>
      <c r="AE1094">
        <v>3.27</v>
      </c>
      <c r="AF1094">
        <v>2.7566666666666668</v>
      </c>
      <c r="AG1094" t="str">
        <f>HYPERLINK("https://finance.naver.com/item/fchart.naver?code=092790", "넥스틸 차트보기")</f>
        <v>넥스틸 차트보기</v>
      </c>
    </row>
    <row r="1095" spans="1:33" x14ac:dyDescent="0.3">
      <c r="A1095" t="s">
        <v>4407</v>
      </c>
      <c r="B1095" t="s">
        <v>55</v>
      </c>
      <c r="C1095" t="s">
        <v>4408</v>
      </c>
      <c r="D1095">
        <v>68840.19</v>
      </c>
      <c r="E1095" t="s">
        <v>4409</v>
      </c>
      <c r="F1095">
        <v>0</v>
      </c>
      <c r="G1095">
        <v>1.8500000238418579</v>
      </c>
      <c r="H1095">
        <v>0</v>
      </c>
      <c r="I1095">
        <v>0</v>
      </c>
      <c r="J1095" t="s">
        <v>4410</v>
      </c>
      <c r="K1095">
        <v>8470</v>
      </c>
      <c r="L1095">
        <v>5610</v>
      </c>
      <c r="M1095">
        <v>-33.770000000000003</v>
      </c>
      <c r="N1095">
        <v>-7.12</v>
      </c>
      <c r="O1095">
        <v>-7.6</v>
      </c>
      <c r="P1095">
        <v>-5.41</v>
      </c>
      <c r="Q1095">
        <v>-11.67</v>
      </c>
      <c r="R1095">
        <v>-15.69</v>
      </c>
      <c r="S1095">
        <v>-4.84</v>
      </c>
      <c r="T1095">
        <v>3.41</v>
      </c>
      <c r="U1095">
        <v>2.2999999999999998</v>
      </c>
      <c r="V1095">
        <v>2.29</v>
      </c>
      <c r="W1095">
        <v>7.01</v>
      </c>
      <c r="X1095">
        <v>2.5</v>
      </c>
      <c r="Y1095">
        <v>5.6</v>
      </c>
      <c r="Z1095">
        <v>2.09</v>
      </c>
      <c r="AA1095">
        <v>3.3</v>
      </c>
      <c r="AB1095">
        <v>2.36</v>
      </c>
      <c r="AC1095">
        <v>1.66</v>
      </c>
      <c r="AD1095">
        <v>6.28</v>
      </c>
      <c r="AE1095">
        <v>0.86</v>
      </c>
      <c r="AF1095">
        <v>2.7583333333333329</v>
      </c>
      <c r="AG1095" t="str">
        <f>HYPERLINK("https://finance.naver.com/item/fchart.naver?code=407400", "꿈비 차트보기")</f>
        <v>꿈비 차트보기</v>
      </c>
    </row>
    <row r="1096" spans="1:33" x14ac:dyDescent="0.3">
      <c r="A1096" t="s">
        <v>4411</v>
      </c>
      <c r="B1096" t="s">
        <v>55</v>
      </c>
      <c r="C1096" t="s">
        <v>4412</v>
      </c>
      <c r="D1096">
        <v>66776.759999999995</v>
      </c>
      <c r="E1096" t="s">
        <v>4413</v>
      </c>
      <c r="F1096">
        <v>11.13</v>
      </c>
      <c r="G1096">
        <v>0.49000000953674322</v>
      </c>
      <c r="H1096">
        <v>1715</v>
      </c>
      <c r="I1096">
        <v>1.2300000190734861</v>
      </c>
      <c r="J1096" t="s">
        <v>4414</v>
      </c>
      <c r="K1096">
        <v>26400</v>
      </c>
      <c r="L1096">
        <v>19090</v>
      </c>
      <c r="M1096">
        <v>-27.69</v>
      </c>
      <c r="N1096">
        <v>-4.0199999999999996</v>
      </c>
      <c r="O1096">
        <v>-12.17</v>
      </c>
      <c r="P1096">
        <v>-8.75</v>
      </c>
      <c r="Q1096">
        <v>10.93</v>
      </c>
      <c r="R1096">
        <v>-10.77</v>
      </c>
      <c r="S1096">
        <v>2.5099999999999998</v>
      </c>
      <c r="T1096">
        <v>2.8</v>
      </c>
      <c r="U1096">
        <v>2.4300000000000002</v>
      </c>
      <c r="V1096">
        <v>3.87</v>
      </c>
      <c r="W1096">
        <v>4.9000000000000004</v>
      </c>
      <c r="X1096">
        <v>2.21</v>
      </c>
      <c r="Y1096">
        <v>3.36</v>
      </c>
      <c r="Z1096">
        <v>1.44</v>
      </c>
      <c r="AA1096">
        <v>5.01</v>
      </c>
      <c r="AB1096">
        <v>2.2599999999999998</v>
      </c>
      <c r="AC1096">
        <v>2.23</v>
      </c>
      <c r="AD1096">
        <v>4.87</v>
      </c>
      <c r="AE1096">
        <v>0.75</v>
      </c>
      <c r="AF1096">
        <v>2.76</v>
      </c>
      <c r="AG1096" t="str">
        <f>HYPERLINK("https://finance.naver.com/item/fchart.naver?code=049070", "인탑스 차트보기")</f>
        <v>인탑스 차트보기</v>
      </c>
    </row>
    <row r="1097" spans="1:33" x14ac:dyDescent="0.3">
      <c r="A1097" t="s">
        <v>4415</v>
      </c>
      <c r="B1097" t="s">
        <v>34</v>
      </c>
      <c r="C1097" t="s">
        <v>4416</v>
      </c>
      <c r="D1097">
        <v>1014643.71</v>
      </c>
      <c r="E1097" t="s">
        <v>4417</v>
      </c>
      <c r="F1097">
        <v>32.29</v>
      </c>
      <c r="G1097">
        <v>3.0099999904632568</v>
      </c>
      <c r="H1097">
        <v>881</v>
      </c>
      <c r="I1097">
        <v>0.76999998092651367</v>
      </c>
      <c r="J1097" t="s">
        <v>4418</v>
      </c>
      <c r="K1097">
        <v>25650</v>
      </c>
      <c r="L1097">
        <v>28450</v>
      </c>
      <c r="M1097">
        <v>10.92</v>
      </c>
      <c r="N1097">
        <v>13.12</v>
      </c>
      <c r="O1097">
        <v>16.05</v>
      </c>
      <c r="P1097">
        <v>12.69</v>
      </c>
      <c r="Q1097">
        <v>-16.98</v>
      </c>
      <c r="R1097">
        <v>-6.52</v>
      </c>
      <c r="S1097">
        <v>-7.09</v>
      </c>
      <c r="T1097">
        <v>3.41</v>
      </c>
      <c r="U1097">
        <v>4.4400000000000004</v>
      </c>
      <c r="V1097">
        <v>3.96</v>
      </c>
      <c r="W1097">
        <v>5.99</v>
      </c>
      <c r="X1097">
        <v>4.37</v>
      </c>
      <c r="Y1097">
        <v>4.4800000000000004</v>
      </c>
      <c r="Z1097">
        <v>3.85</v>
      </c>
      <c r="AA1097">
        <v>3.61</v>
      </c>
      <c r="AB1097">
        <v>3.2</v>
      </c>
      <c r="AC1097">
        <v>2.83</v>
      </c>
      <c r="AD1097">
        <v>1.49</v>
      </c>
      <c r="AE1097">
        <v>1.58</v>
      </c>
      <c r="AF1097">
        <v>2.76</v>
      </c>
      <c r="AG1097" t="str">
        <f>HYPERLINK("https://finance.naver.com/item/fchart.naver?code=103590", "일진전기 차트보기")</f>
        <v>일진전기 차트보기</v>
      </c>
    </row>
    <row r="1098" spans="1:33" x14ac:dyDescent="0.3">
      <c r="A1098" t="s">
        <v>4419</v>
      </c>
      <c r="B1098" t="s">
        <v>34</v>
      </c>
      <c r="C1098" t="s">
        <v>4420</v>
      </c>
      <c r="D1098">
        <v>46160.52</v>
      </c>
      <c r="E1098" t="s">
        <v>4421</v>
      </c>
      <c r="F1098">
        <v>4.08</v>
      </c>
      <c r="G1098">
        <v>0.51999998092651367</v>
      </c>
      <c r="H1098">
        <v>1310</v>
      </c>
      <c r="I1098">
        <v>3.3599998950958252</v>
      </c>
      <c r="J1098" t="s">
        <v>4422</v>
      </c>
      <c r="K1098">
        <v>7060</v>
      </c>
      <c r="L1098">
        <v>5350</v>
      </c>
      <c r="M1098">
        <v>-24.22</v>
      </c>
      <c r="N1098">
        <v>6.57</v>
      </c>
      <c r="O1098">
        <v>-0.97</v>
      </c>
      <c r="P1098">
        <v>0.59</v>
      </c>
      <c r="Q1098">
        <v>-5.54</v>
      </c>
      <c r="R1098">
        <v>-4.5999999999999996</v>
      </c>
      <c r="S1098">
        <v>-14.66</v>
      </c>
      <c r="T1098">
        <v>2.08</v>
      </c>
      <c r="U1098">
        <v>1.04</v>
      </c>
      <c r="V1098">
        <v>1.21</v>
      </c>
      <c r="W1098">
        <v>3.46</v>
      </c>
      <c r="X1098">
        <v>2.41</v>
      </c>
      <c r="Y1098">
        <v>1.73</v>
      </c>
      <c r="Z1098">
        <v>3.16</v>
      </c>
      <c r="AA1098">
        <v>0.93</v>
      </c>
      <c r="AB1098">
        <v>0.49</v>
      </c>
      <c r="AC1098">
        <v>1.6</v>
      </c>
      <c r="AD1098">
        <v>1.91</v>
      </c>
      <c r="AE1098">
        <v>8.4700000000000006</v>
      </c>
      <c r="AF1098">
        <v>2.76</v>
      </c>
      <c r="AG1098" t="str">
        <f>HYPERLINK("https://finance.naver.com/item/fchart.naver?code=015230", "대창단조 차트보기")</f>
        <v>대창단조 차트보기</v>
      </c>
    </row>
    <row r="1099" spans="1:33" x14ac:dyDescent="0.3">
      <c r="A1099" t="s">
        <v>4423</v>
      </c>
      <c r="B1099" t="s">
        <v>55</v>
      </c>
      <c r="C1099" t="s">
        <v>4424</v>
      </c>
      <c r="D1099">
        <v>1145635.3799999999</v>
      </c>
      <c r="E1099" t="s">
        <v>4425</v>
      </c>
      <c r="F1099">
        <v>0</v>
      </c>
      <c r="G1099">
        <v>2.5099999904632568</v>
      </c>
      <c r="H1099">
        <v>0</v>
      </c>
      <c r="I1099">
        <v>13.819999694824221</v>
      </c>
      <c r="J1099" t="s">
        <v>4426</v>
      </c>
      <c r="K1099">
        <v>28100</v>
      </c>
      <c r="L1099">
        <v>18100</v>
      </c>
      <c r="M1099">
        <v>-35.590000000000003</v>
      </c>
      <c r="N1099">
        <v>-9.36</v>
      </c>
      <c r="O1099">
        <v>0.49</v>
      </c>
      <c r="P1099">
        <v>29.23</v>
      </c>
      <c r="Q1099">
        <v>-11.7</v>
      </c>
      <c r="R1099">
        <v>-11.19</v>
      </c>
      <c r="S1099">
        <v>-13.75</v>
      </c>
      <c r="T1099">
        <v>3.62</v>
      </c>
      <c r="U1099">
        <v>5.19</v>
      </c>
      <c r="V1099">
        <v>6.4</v>
      </c>
      <c r="W1099">
        <v>5.15</v>
      </c>
      <c r="X1099">
        <v>4.82</v>
      </c>
      <c r="Y1099">
        <v>2.91</v>
      </c>
      <c r="Z1099">
        <v>2.59</v>
      </c>
      <c r="AA1099">
        <v>0.09</v>
      </c>
      <c r="AB1099">
        <v>4.57</v>
      </c>
      <c r="AC1099">
        <v>2.27</v>
      </c>
      <c r="AD1099">
        <v>2.3199999999999998</v>
      </c>
      <c r="AE1099">
        <v>4.7300000000000004</v>
      </c>
      <c r="AF1099">
        <v>2.7616666666666672</v>
      </c>
      <c r="AG1099" t="str">
        <f>HYPERLINK("https://finance.naver.com/item/fchart.naver?code=161580", "필옵틱스 차트보기")</f>
        <v>필옵틱스 차트보기</v>
      </c>
    </row>
    <row r="1100" spans="1:33" x14ac:dyDescent="0.3">
      <c r="A1100" t="s">
        <v>4427</v>
      </c>
      <c r="B1100" t="s">
        <v>34</v>
      </c>
      <c r="C1100" t="s">
        <v>4428</v>
      </c>
      <c r="D1100">
        <v>718848.48</v>
      </c>
      <c r="E1100" t="s">
        <v>4429</v>
      </c>
      <c r="F1100">
        <v>0</v>
      </c>
      <c r="G1100">
        <v>0.1800000071525574</v>
      </c>
      <c r="H1100">
        <v>0</v>
      </c>
      <c r="I1100">
        <v>0</v>
      </c>
      <c r="J1100" t="s">
        <v>4430</v>
      </c>
      <c r="K1100">
        <v>1405</v>
      </c>
      <c r="L1100">
        <v>800</v>
      </c>
      <c r="M1100">
        <v>-43.06</v>
      </c>
      <c r="N1100">
        <v>-0.62</v>
      </c>
      <c r="O1100">
        <v>-9.5</v>
      </c>
      <c r="P1100">
        <v>-13.28</v>
      </c>
      <c r="Q1100">
        <v>-8.35</v>
      </c>
      <c r="R1100">
        <v>13.06</v>
      </c>
      <c r="S1100">
        <v>-11.84</v>
      </c>
      <c r="T1100">
        <v>2.5099999999999998</v>
      </c>
      <c r="U1100">
        <v>1.74</v>
      </c>
      <c r="V1100">
        <v>3.21</v>
      </c>
      <c r="W1100">
        <v>4</v>
      </c>
      <c r="X1100">
        <v>9.39</v>
      </c>
      <c r="Y1100">
        <v>3.64</v>
      </c>
      <c r="Z1100">
        <v>0.25</v>
      </c>
      <c r="AA1100">
        <v>5.46</v>
      </c>
      <c r="AB1100">
        <v>4.1399999999999997</v>
      </c>
      <c r="AC1100">
        <v>2.09</v>
      </c>
      <c r="AD1100">
        <v>1.39</v>
      </c>
      <c r="AE1100">
        <v>3.25</v>
      </c>
      <c r="AF1100">
        <v>2.7633333333333332</v>
      </c>
      <c r="AG1100" t="str">
        <f>HYPERLINK("https://finance.naver.com/item/fchart.naver?code=003060", "에이프로젠바이오로직스 차트보기")</f>
        <v>에이프로젠바이오로직스 차트보기</v>
      </c>
    </row>
    <row r="1101" spans="1:33" x14ac:dyDescent="0.3">
      <c r="A1101" t="s">
        <v>4431</v>
      </c>
      <c r="B1101" t="s">
        <v>55</v>
      </c>
      <c r="C1101" t="s">
        <v>4432</v>
      </c>
      <c r="D1101">
        <v>5671.1</v>
      </c>
      <c r="E1101" t="s">
        <v>4433</v>
      </c>
      <c r="F1101">
        <v>5.3</v>
      </c>
      <c r="G1101">
        <v>0.86000001430511475</v>
      </c>
      <c r="H1101">
        <v>5316</v>
      </c>
      <c r="I1101">
        <v>5.6700000762939453</v>
      </c>
      <c r="J1101" t="s">
        <v>4434</v>
      </c>
      <c r="K1101">
        <v>34450</v>
      </c>
      <c r="L1101">
        <v>28200</v>
      </c>
      <c r="M1101">
        <v>-18.14</v>
      </c>
      <c r="N1101">
        <v>-2.76</v>
      </c>
      <c r="O1101">
        <v>-2.15</v>
      </c>
      <c r="P1101">
        <v>-0.98</v>
      </c>
      <c r="Q1101">
        <v>-4.9800000000000004</v>
      </c>
      <c r="R1101">
        <v>-2.15</v>
      </c>
      <c r="S1101">
        <v>-5.45</v>
      </c>
      <c r="T1101">
        <v>1.42</v>
      </c>
      <c r="U1101">
        <v>0.66</v>
      </c>
      <c r="V1101">
        <v>0.71</v>
      </c>
      <c r="W1101">
        <v>2.59</v>
      </c>
      <c r="X1101">
        <v>0.77</v>
      </c>
      <c r="Y1101">
        <v>1.03</v>
      </c>
      <c r="Z1101">
        <v>1.94</v>
      </c>
      <c r="AA1101">
        <v>3.26</v>
      </c>
      <c r="AB1101">
        <v>1.38</v>
      </c>
      <c r="AC1101">
        <v>1.92</v>
      </c>
      <c r="AD1101">
        <v>2.79</v>
      </c>
      <c r="AE1101">
        <v>5.29</v>
      </c>
      <c r="AF1101">
        <v>2.7633333333333332</v>
      </c>
      <c r="AG1101" t="str">
        <f>HYPERLINK("https://finance.naver.com/item/fchart.naver?code=067280", "멀티캠퍼스 차트보기")</f>
        <v>멀티캠퍼스 차트보기</v>
      </c>
    </row>
    <row r="1102" spans="1:33" x14ac:dyDescent="0.3">
      <c r="A1102" t="s">
        <v>4435</v>
      </c>
      <c r="B1102" t="s">
        <v>34</v>
      </c>
      <c r="C1102" t="s">
        <v>4436</v>
      </c>
      <c r="D1102">
        <v>72865.19</v>
      </c>
      <c r="E1102" t="s">
        <v>4437</v>
      </c>
      <c r="F1102">
        <v>23.24</v>
      </c>
      <c r="G1102">
        <v>0.31999999284744263</v>
      </c>
      <c r="H1102">
        <v>1282</v>
      </c>
      <c r="I1102">
        <v>4.3600001335144043</v>
      </c>
      <c r="J1102" t="s">
        <v>4438</v>
      </c>
      <c r="K1102">
        <v>40050</v>
      </c>
      <c r="L1102">
        <v>29800</v>
      </c>
      <c r="M1102">
        <v>-25.59</v>
      </c>
      <c r="N1102">
        <v>-4.6399999999999997</v>
      </c>
      <c r="O1102">
        <v>-6.34</v>
      </c>
      <c r="P1102">
        <v>3.61</v>
      </c>
      <c r="Q1102">
        <v>-7.05</v>
      </c>
      <c r="R1102">
        <v>-3.89</v>
      </c>
      <c r="S1102">
        <v>-7.92</v>
      </c>
      <c r="T1102">
        <v>2.39</v>
      </c>
      <c r="U1102">
        <v>1.59</v>
      </c>
      <c r="V1102">
        <v>1.99</v>
      </c>
      <c r="W1102">
        <v>3.33</v>
      </c>
      <c r="X1102">
        <v>1.75</v>
      </c>
      <c r="Y1102">
        <v>1.76</v>
      </c>
      <c r="Z1102">
        <v>1.94</v>
      </c>
      <c r="AA1102">
        <v>3.99</v>
      </c>
      <c r="AB1102">
        <v>1.81</v>
      </c>
      <c r="AC1102">
        <v>2.12</v>
      </c>
      <c r="AD1102">
        <v>2.2200000000000002</v>
      </c>
      <c r="AE1102">
        <v>4.5</v>
      </c>
      <c r="AF1102">
        <v>2.7633333333333332</v>
      </c>
      <c r="AG1102" t="str">
        <f>HYPERLINK("https://finance.naver.com/item/fchart.naver?code=120110", "코오롱인더 차트보기")</f>
        <v>코오롱인더 차트보기</v>
      </c>
    </row>
    <row r="1103" spans="1:33" x14ac:dyDescent="0.3">
      <c r="A1103" t="s">
        <v>4439</v>
      </c>
      <c r="B1103" t="s">
        <v>55</v>
      </c>
      <c r="C1103" t="s">
        <v>4440</v>
      </c>
      <c r="D1103">
        <v>37745.57</v>
      </c>
      <c r="E1103" t="s">
        <v>4441</v>
      </c>
      <c r="F1103">
        <v>0</v>
      </c>
      <c r="G1103">
        <v>4.5100002288818359</v>
      </c>
      <c r="H1103">
        <v>0</v>
      </c>
      <c r="I1103">
        <v>0</v>
      </c>
      <c r="J1103" t="s">
        <v>4442</v>
      </c>
      <c r="K1103">
        <v>7490</v>
      </c>
      <c r="L1103">
        <v>6540</v>
      </c>
      <c r="M1103">
        <v>-12.68</v>
      </c>
      <c r="N1103">
        <v>-8.27</v>
      </c>
      <c r="O1103">
        <v>8.9</v>
      </c>
      <c r="P1103">
        <v>6.63</v>
      </c>
      <c r="Q1103">
        <v>-5.24</v>
      </c>
      <c r="R1103">
        <v>1.1599999999999999</v>
      </c>
      <c r="S1103">
        <v>-11.29</v>
      </c>
      <c r="T1103">
        <v>1.87</v>
      </c>
      <c r="U1103">
        <v>2.97</v>
      </c>
      <c r="V1103">
        <v>3.56</v>
      </c>
      <c r="W1103">
        <v>4.3</v>
      </c>
      <c r="X1103">
        <v>3.08</v>
      </c>
      <c r="Y1103">
        <v>1.98</v>
      </c>
      <c r="Z1103">
        <v>4.42</v>
      </c>
      <c r="AA1103">
        <v>3</v>
      </c>
      <c r="AB1103">
        <v>1.86</v>
      </c>
      <c r="AC1103">
        <v>1.22</v>
      </c>
      <c r="AD1103">
        <v>0.38</v>
      </c>
      <c r="AE1103">
        <v>5.7</v>
      </c>
      <c r="AF1103">
        <v>2.7633333333333341</v>
      </c>
      <c r="AG1103" t="str">
        <f>HYPERLINK("https://finance.naver.com/item/fchart.naver?code=246710", "티앤알바이오팹 차트보기")</f>
        <v>티앤알바이오팹 차트보기</v>
      </c>
    </row>
    <row r="1104" spans="1:33" x14ac:dyDescent="0.3">
      <c r="A1104" t="s">
        <v>4443</v>
      </c>
      <c r="B1104" t="s">
        <v>55</v>
      </c>
      <c r="C1104" t="s">
        <v>4444</v>
      </c>
      <c r="D1104">
        <v>34832.379999999997</v>
      </c>
      <c r="E1104" t="s">
        <v>4445</v>
      </c>
      <c r="F1104">
        <v>17.77</v>
      </c>
      <c r="G1104">
        <v>1.070000052452087</v>
      </c>
      <c r="H1104">
        <v>426</v>
      </c>
      <c r="I1104">
        <v>7.929999828338623</v>
      </c>
      <c r="J1104" t="s">
        <v>4446</v>
      </c>
      <c r="K1104">
        <v>10490</v>
      </c>
      <c r="L1104">
        <v>7570</v>
      </c>
      <c r="M1104">
        <v>-27.84</v>
      </c>
      <c r="N1104">
        <v>-4.54</v>
      </c>
      <c r="O1104">
        <v>-9.5500000000000007</v>
      </c>
      <c r="P1104">
        <v>7.59</v>
      </c>
      <c r="Q1104">
        <v>-5.69</v>
      </c>
      <c r="R1104">
        <v>-1.47</v>
      </c>
      <c r="S1104">
        <v>-8.77</v>
      </c>
      <c r="T1104">
        <v>1.68</v>
      </c>
      <c r="U1104">
        <v>6.23</v>
      </c>
      <c r="V1104">
        <v>7.72</v>
      </c>
      <c r="W1104">
        <v>3.78</v>
      </c>
      <c r="X1104">
        <v>2.02</v>
      </c>
      <c r="Y1104">
        <v>0.96</v>
      </c>
      <c r="Z1104">
        <v>2.7</v>
      </c>
      <c r="AA1104">
        <v>1.53</v>
      </c>
      <c r="AB1104">
        <v>0.98</v>
      </c>
      <c r="AC1104">
        <v>1.51</v>
      </c>
      <c r="AD1104">
        <v>0.73</v>
      </c>
      <c r="AE1104">
        <v>9.14</v>
      </c>
      <c r="AF1104">
        <v>2.765000000000001</v>
      </c>
      <c r="AG1104" t="str">
        <f>HYPERLINK("https://finance.naver.com/item/fchart.naver?code=199730", "바이오인프라 차트보기")</f>
        <v>바이오인프라 차트보기</v>
      </c>
    </row>
    <row r="1105" spans="1:33" x14ac:dyDescent="0.3">
      <c r="A1105" t="s">
        <v>4447</v>
      </c>
      <c r="B1105" t="s">
        <v>34</v>
      </c>
      <c r="C1105" t="s">
        <v>4448</v>
      </c>
      <c r="D1105">
        <v>1229886.33</v>
      </c>
      <c r="E1105" t="s">
        <v>4449</v>
      </c>
      <c r="F1105">
        <v>0</v>
      </c>
      <c r="G1105">
        <v>0.40000000596046448</v>
      </c>
      <c r="H1105">
        <v>0</v>
      </c>
      <c r="I1105">
        <v>1.629999995231628</v>
      </c>
      <c r="J1105" t="s">
        <v>4450</v>
      </c>
      <c r="K1105">
        <v>30000</v>
      </c>
      <c r="L1105">
        <v>18380</v>
      </c>
      <c r="M1105">
        <v>-38.729999999999997</v>
      </c>
      <c r="N1105">
        <v>-14.51</v>
      </c>
      <c r="O1105">
        <v>-13.51</v>
      </c>
      <c r="P1105">
        <v>4.4400000000000004</v>
      </c>
      <c r="Q1105">
        <v>-4.4400000000000004</v>
      </c>
      <c r="R1105">
        <v>-6.6</v>
      </c>
      <c r="S1105">
        <v>-10.53</v>
      </c>
      <c r="T1105">
        <v>4</v>
      </c>
      <c r="U1105">
        <v>2.7</v>
      </c>
      <c r="V1105">
        <v>3.84</v>
      </c>
      <c r="W1105">
        <v>4.8600000000000003</v>
      </c>
      <c r="X1105">
        <v>2.4</v>
      </c>
      <c r="Y1105">
        <v>3.34</v>
      </c>
      <c r="Z1105">
        <v>3.63</v>
      </c>
      <c r="AA1105">
        <v>5</v>
      </c>
      <c r="AB1105">
        <v>1.1599999999999999</v>
      </c>
      <c r="AC1105">
        <v>0.91</v>
      </c>
      <c r="AD1105">
        <v>2.75</v>
      </c>
      <c r="AE1105">
        <v>3.15</v>
      </c>
      <c r="AF1105">
        <v>2.7666666666666662</v>
      </c>
      <c r="AG1105" t="str">
        <f>HYPERLINK("https://finance.naver.com/item/fchart.naver?code=009830", "한화솔루션 차트보기")</f>
        <v>한화솔루션 차트보기</v>
      </c>
    </row>
    <row r="1106" spans="1:33" x14ac:dyDescent="0.3">
      <c r="A1106" t="s">
        <v>4451</v>
      </c>
      <c r="B1106" t="s">
        <v>34</v>
      </c>
      <c r="C1106" t="s">
        <v>4452</v>
      </c>
      <c r="D1106">
        <v>3963.05</v>
      </c>
      <c r="E1106" t="s">
        <v>4453</v>
      </c>
      <c r="F1106">
        <v>0</v>
      </c>
      <c r="G1106">
        <v>0</v>
      </c>
      <c r="H1106">
        <v>0</v>
      </c>
      <c r="I1106">
        <v>6.75</v>
      </c>
      <c r="J1106" t="s">
        <v>4454</v>
      </c>
      <c r="K1106">
        <v>22700</v>
      </c>
      <c r="L1106">
        <v>20000</v>
      </c>
      <c r="M1106">
        <v>-11.89</v>
      </c>
      <c r="N1106">
        <v>-3.38</v>
      </c>
      <c r="O1106">
        <v>-2.54</v>
      </c>
      <c r="P1106">
        <v>-0.69</v>
      </c>
      <c r="Q1106">
        <v>-2.23</v>
      </c>
      <c r="R1106">
        <v>0.68</v>
      </c>
      <c r="S1106">
        <v>-3.7</v>
      </c>
      <c r="T1106">
        <v>1.39</v>
      </c>
      <c r="U1106">
        <v>0.4</v>
      </c>
      <c r="V1106">
        <v>1.1299999999999999</v>
      </c>
      <c r="W1106">
        <v>1.98</v>
      </c>
      <c r="X1106">
        <v>0.95</v>
      </c>
      <c r="Y1106">
        <v>0.69</v>
      </c>
      <c r="Z1106">
        <v>2.4300000000000002</v>
      </c>
      <c r="AA1106">
        <v>6.35</v>
      </c>
      <c r="AB1106">
        <v>0.61</v>
      </c>
      <c r="AC1106">
        <v>1.1299999999999999</v>
      </c>
      <c r="AD1106">
        <v>0.72</v>
      </c>
      <c r="AE1106">
        <v>5.36</v>
      </c>
      <c r="AF1106">
        <v>2.7666666666666671</v>
      </c>
      <c r="AG1106" t="str">
        <f>HYPERLINK("https://finance.naver.com/item/fchart.naver?code=120115", "코오롱인더우 차트보기")</f>
        <v>코오롱인더우 차트보기</v>
      </c>
    </row>
    <row r="1107" spans="1:33" x14ac:dyDescent="0.3">
      <c r="A1107" t="s">
        <v>4455</v>
      </c>
      <c r="B1107" t="s">
        <v>55</v>
      </c>
      <c r="C1107" t="s">
        <v>4456</v>
      </c>
      <c r="D1107">
        <v>8027.76</v>
      </c>
      <c r="E1107" t="s">
        <v>4457</v>
      </c>
      <c r="F1107">
        <v>10.02</v>
      </c>
      <c r="G1107">
        <v>1.299999952316284</v>
      </c>
      <c r="H1107">
        <v>218</v>
      </c>
      <c r="I1107">
        <v>5.4899997711181641</v>
      </c>
      <c r="J1107" t="s">
        <v>4458</v>
      </c>
      <c r="K1107">
        <v>2870</v>
      </c>
      <c r="L1107">
        <v>2185</v>
      </c>
      <c r="M1107">
        <v>-23.87</v>
      </c>
      <c r="N1107">
        <v>0</v>
      </c>
      <c r="O1107">
        <v>1.64</v>
      </c>
      <c r="P1107">
        <v>-5.41</v>
      </c>
      <c r="Q1107">
        <v>-9.8699999999999992</v>
      </c>
      <c r="R1107">
        <v>-2.99</v>
      </c>
      <c r="S1107">
        <v>-12.2</v>
      </c>
      <c r="T1107">
        <v>0.68</v>
      </c>
      <c r="U1107">
        <v>0.94</v>
      </c>
      <c r="V1107">
        <v>2.85</v>
      </c>
      <c r="W1107">
        <v>3.79</v>
      </c>
      <c r="X1107">
        <v>1.63</v>
      </c>
      <c r="Y1107">
        <v>1.43</v>
      </c>
      <c r="Z1107">
        <v>0</v>
      </c>
      <c r="AA1107">
        <v>1.74</v>
      </c>
      <c r="AB1107">
        <v>1.9</v>
      </c>
      <c r="AC1107">
        <v>2.6</v>
      </c>
      <c r="AD1107">
        <v>1.83</v>
      </c>
      <c r="AE1107">
        <v>8.5299999999999994</v>
      </c>
      <c r="AF1107">
        <v>2.7666666666666671</v>
      </c>
      <c r="AG1107" t="str">
        <f>HYPERLINK("https://finance.naver.com/item/fchart.naver?code=169330", "엠브레인 차트보기")</f>
        <v>엠브레인 차트보기</v>
      </c>
    </row>
    <row r="1108" spans="1:33" x14ac:dyDescent="0.3">
      <c r="A1108" t="s">
        <v>4459</v>
      </c>
      <c r="B1108" t="s">
        <v>55</v>
      </c>
      <c r="C1108" t="s">
        <v>4460</v>
      </c>
      <c r="D1108">
        <v>170783.33</v>
      </c>
      <c r="E1108" t="s">
        <v>4461</v>
      </c>
      <c r="F1108">
        <v>52.76</v>
      </c>
      <c r="G1108">
        <v>0.99000000953674316</v>
      </c>
      <c r="H1108">
        <v>17</v>
      </c>
      <c r="I1108">
        <v>0</v>
      </c>
      <c r="J1108" t="s">
        <v>4462</v>
      </c>
      <c r="K1108">
        <v>1393</v>
      </c>
      <c r="L1108">
        <v>897</v>
      </c>
      <c r="M1108">
        <v>-35.61</v>
      </c>
      <c r="N1108">
        <v>-3.55</v>
      </c>
      <c r="O1108">
        <v>-2.52</v>
      </c>
      <c r="P1108">
        <v>4.51</v>
      </c>
      <c r="Q1108">
        <v>-16.989999999999998</v>
      </c>
      <c r="R1108">
        <v>-3.61</v>
      </c>
      <c r="S1108">
        <v>-8.49</v>
      </c>
      <c r="T1108">
        <v>1.8</v>
      </c>
      <c r="U1108">
        <v>2.52</v>
      </c>
      <c r="V1108">
        <v>2.76</v>
      </c>
      <c r="W1108">
        <v>4.87</v>
      </c>
      <c r="X1108">
        <v>1.52</v>
      </c>
      <c r="Y1108">
        <v>1.38</v>
      </c>
      <c r="Z1108">
        <v>1.97</v>
      </c>
      <c r="AA1108">
        <v>1</v>
      </c>
      <c r="AB1108">
        <v>1.63</v>
      </c>
      <c r="AC1108">
        <v>3.49</v>
      </c>
      <c r="AD1108">
        <v>2.38</v>
      </c>
      <c r="AE1108">
        <v>6.15</v>
      </c>
      <c r="AF1108">
        <v>2.77</v>
      </c>
      <c r="AG1108" t="str">
        <f>HYPERLINK("https://finance.naver.com/item/fchart.naver?code=273060", "와이즈버즈 차트보기")</f>
        <v>와이즈버즈 차트보기</v>
      </c>
    </row>
    <row r="1109" spans="1:33" x14ac:dyDescent="0.3">
      <c r="A1109" t="s">
        <v>4463</v>
      </c>
      <c r="B1109" t="s">
        <v>55</v>
      </c>
      <c r="C1109" t="s">
        <v>4464</v>
      </c>
      <c r="D1109">
        <v>19909.48</v>
      </c>
      <c r="E1109" t="s">
        <v>4465</v>
      </c>
      <c r="F1109">
        <v>0</v>
      </c>
      <c r="G1109">
        <v>0.44999998807907099</v>
      </c>
      <c r="H1109">
        <v>0</v>
      </c>
      <c r="I1109">
        <v>0</v>
      </c>
      <c r="J1109" t="s">
        <v>4466</v>
      </c>
      <c r="K1109">
        <v>1503</v>
      </c>
      <c r="L1109">
        <v>1314</v>
      </c>
      <c r="M1109">
        <v>-12.57</v>
      </c>
      <c r="N1109">
        <v>-4.2300000000000004</v>
      </c>
      <c r="O1109">
        <v>-3.03</v>
      </c>
      <c r="P1109">
        <v>2.67</v>
      </c>
      <c r="Q1109">
        <v>-11.75</v>
      </c>
      <c r="R1109">
        <v>-6.03</v>
      </c>
      <c r="S1109">
        <v>-7.31</v>
      </c>
      <c r="T1109">
        <v>1.62</v>
      </c>
      <c r="U1109">
        <v>1.31</v>
      </c>
      <c r="V1109">
        <v>1.43</v>
      </c>
      <c r="W1109">
        <v>3.32</v>
      </c>
      <c r="X1109">
        <v>1.49</v>
      </c>
      <c r="Y1109">
        <v>3.25</v>
      </c>
      <c r="Z1109">
        <v>2.61</v>
      </c>
      <c r="AA1109">
        <v>2.31</v>
      </c>
      <c r="AB1109">
        <v>1.87</v>
      </c>
      <c r="AC1109">
        <v>3.54</v>
      </c>
      <c r="AD1109">
        <v>4.05</v>
      </c>
      <c r="AE1109">
        <v>2.25</v>
      </c>
      <c r="AF1109">
        <v>2.7716666666666669</v>
      </c>
      <c r="AG1109" t="str">
        <f>HYPERLINK("https://finance.naver.com/item/fchart.naver?code=069140", "누리플랜 차트보기")</f>
        <v>누리플랜 차트보기</v>
      </c>
    </row>
    <row r="1110" spans="1:33" x14ac:dyDescent="0.3">
      <c r="A1110" t="s">
        <v>4467</v>
      </c>
      <c r="B1110" t="s">
        <v>55</v>
      </c>
      <c r="C1110" t="s">
        <v>4468</v>
      </c>
      <c r="D1110">
        <v>295123.19</v>
      </c>
      <c r="E1110" t="s">
        <v>4469</v>
      </c>
      <c r="F1110">
        <v>0</v>
      </c>
      <c r="G1110">
        <v>0.80000001192092896</v>
      </c>
      <c r="H1110">
        <v>0</v>
      </c>
      <c r="I1110">
        <v>0</v>
      </c>
      <c r="J1110" t="s">
        <v>4470</v>
      </c>
      <c r="K1110">
        <v>588</v>
      </c>
      <c r="L1110">
        <v>540</v>
      </c>
      <c r="M1110">
        <v>-8.16</v>
      </c>
      <c r="N1110">
        <v>2.66</v>
      </c>
      <c r="O1110">
        <v>-6.67</v>
      </c>
      <c r="P1110">
        <v>-6.87</v>
      </c>
      <c r="Q1110">
        <v>-6.69</v>
      </c>
      <c r="R1110">
        <v>-7.05</v>
      </c>
      <c r="S1110">
        <v>11.06</v>
      </c>
      <c r="T1110">
        <v>1.38</v>
      </c>
      <c r="U1110">
        <v>2.2000000000000002</v>
      </c>
      <c r="V1110">
        <v>1.29</v>
      </c>
      <c r="W1110">
        <v>2.25</v>
      </c>
      <c r="X1110">
        <v>3.84</v>
      </c>
      <c r="Y1110">
        <v>7.21</v>
      </c>
      <c r="Z1110">
        <v>1.93</v>
      </c>
      <c r="AA1110">
        <v>3.03</v>
      </c>
      <c r="AB1110">
        <v>5.33</v>
      </c>
      <c r="AC1110">
        <v>2.97</v>
      </c>
      <c r="AD1110">
        <v>1.84</v>
      </c>
      <c r="AE1110">
        <v>1.53</v>
      </c>
      <c r="AF1110">
        <v>2.7716666666666669</v>
      </c>
      <c r="AG1110" t="str">
        <f>HYPERLINK("https://finance.naver.com/item/fchart.naver?code=067390", "아스트 차트보기")</f>
        <v>아스트 차트보기</v>
      </c>
    </row>
    <row r="1111" spans="1:33" x14ac:dyDescent="0.3">
      <c r="A1111" t="s">
        <v>4471</v>
      </c>
      <c r="B1111" t="s">
        <v>55</v>
      </c>
      <c r="C1111" t="s">
        <v>4472</v>
      </c>
      <c r="D1111">
        <v>1045086.95</v>
      </c>
      <c r="E1111" t="s">
        <v>4473</v>
      </c>
      <c r="F1111">
        <v>0</v>
      </c>
      <c r="G1111">
        <v>5.8499999046325684</v>
      </c>
      <c r="H1111">
        <v>0</v>
      </c>
      <c r="I1111">
        <v>0</v>
      </c>
      <c r="J1111" t="s">
        <v>4474</v>
      </c>
      <c r="K1111">
        <v>17300</v>
      </c>
      <c r="L1111">
        <v>16650</v>
      </c>
      <c r="M1111">
        <v>-3.76</v>
      </c>
      <c r="N1111">
        <v>-4.6399999999999997</v>
      </c>
      <c r="O1111">
        <v>11.21</v>
      </c>
      <c r="P1111">
        <v>-6.05</v>
      </c>
      <c r="Q1111">
        <v>-10.65</v>
      </c>
      <c r="R1111">
        <v>2.61</v>
      </c>
      <c r="S1111">
        <v>12.93</v>
      </c>
      <c r="T1111">
        <v>2.2799999999999998</v>
      </c>
      <c r="U1111">
        <v>7.84</v>
      </c>
      <c r="V1111">
        <v>2.31</v>
      </c>
      <c r="W1111">
        <v>3.25</v>
      </c>
      <c r="X1111">
        <v>3.68</v>
      </c>
      <c r="Y1111">
        <v>1.97</v>
      </c>
      <c r="Z1111">
        <v>2.04</v>
      </c>
      <c r="AA1111">
        <v>1.43</v>
      </c>
      <c r="AB1111">
        <v>2.62</v>
      </c>
      <c r="AC1111">
        <v>3.28</v>
      </c>
      <c r="AD1111">
        <v>0.71</v>
      </c>
      <c r="AE1111">
        <v>6.56</v>
      </c>
      <c r="AF1111">
        <v>2.773333333333333</v>
      </c>
      <c r="AG1111" t="str">
        <f>HYPERLINK("https://finance.naver.com/item/fchart.naver?code=138610", "나이벡 차트보기")</f>
        <v>나이벡 차트보기</v>
      </c>
    </row>
    <row r="1112" spans="1:33" x14ac:dyDescent="0.3">
      <c r="A1112" t="s">
        <v>4475</v>
      </c>
      <c r="B1112" t="s">
        <v>55</v>
      </c>
      <c r="C1112" t="s">
        <v>4476</v>
      </c>
      <c r="D1112">
        <v>42268.05</v>
      </c>
      <c r="E1112" t="s">
        <v>4477</v>
      </c>
      <c r="F1112">
        <v>8.48</v>
      </c>
      <c r="G1112">
        <v>1.110000014305115</v>
      </c>
      <c r="H1112">
        <v>1092</v>
      </c>
      <c r="I1112">
        <v>2.160000085830688</v>
      </c>
      <c r="J1112" t="s">
        <v>4478</v>
      </c>
      <c r="K1112">
        <v>10500</v>
      </c>
      <c r="L1112">
        <v>9260</v>
      </c>
      <c r="M1112">
        <v>-11.81</v>
      </c>
      <c r="N1112">
        <v>1.42</v>
      </c>
      <c r="O1112">
        <v>-0.33</v>
      </c>
      <c r="P1112">
        <v>-2.3199999999999998</v>
      </c>
      <c r="Q1112">
        <v>-1.28</v>
      </c>
      <c r="R1112">
        <v>-9.8000000000000007</v>
      </c>
      <c r="S1112">
        <v>-1.64</v>
      </c>
      <c r="T1112">
        <v>0.83</v>
      </c>
      <c r="U1112">
        <v>1.52</v>
      </c>
      <c r="V1112">
        <v>1.44</v>
      </c>
      <c r="W1112">
        <v>2.61</v>
      </c>
      <c r="X1112">
        <v>0.91</v>
      </c>
      <c r="Y1112">
        <v>0.89</v>
      </c>
      <c r="Z1112">
        <v>1.71</v>
      </c>
      <c r="AA1112">
        <v>0.22</v>
      </c>
      <c r="AB1112">
        <v>1.61</v>
      </c>
      <c r="AC1112">
        <v>0.49</v>
      </c>
      <c r="AD1112">
        <v>10.77</v>
      </c>
      <c r="AE1112">
        <v>1.84</v>
      </c>
      <c r="AF1112">
        <v>2.773333333333333</v>
      </c>
      <c r="AG1112" t="str">
        <f>HYPERLINK("https://finance.naver.com/item/fchart.naver?code=417790", "트루엔 차트보기")</f>
        <v>트루엔 차트보기</v>
      </c>
    </row>
    <row r="1113" spans="1:33" x14ac:dyDescent="0.3">
      <c r="A1113" t="s">
        <v>4479</v>
      </c>
      <c r="B1113" t="s">
        <v>55</v>
      </c>
      <c r="C1113" t="s">
        <v>4480</v>
      </c>
      <c r="D1113">
        <v>13112.57</v>
      </c>
      <c r="E1113" t="s">
        <v>4481</v>
      </c>
      <c r="F1113">
        <v>7.79</v>
      </c>
      <c r="G1113">
        <v>0.43999999761581421</v>
      </c>
      <c r="H1113">
        <v>504</v>
      </c>
      <c r="I1113">
        <v>1.779999971389771</v>
      </c>
      <c r="J1113" t="s">
        <v>4482</v>
      </c>
      <c r="K1113">
        <v>5930</v>
      </c>
      <c r="L1113">
        <v>3925</v>
      </c>
      <c r="M1113">
        <v>-33.81</v>
      </c>
      <c r="N1113">
        <v>-0.25</v>
      </c>
      <c r="O1113">
        <v>-3.55</v>
      </c>
      <c r="P1113">
        <v>-4.2699999999999996</v>
      </c>
      <c r="Q1113">
        <v>-9.9499999999999993</v>
      </c>
      <c r="R1113">
        <v>3.09</v>
      </c>
      <c r="S1113">
        <v>-14.31</v>
      </c>
      <c r="T1113">
        <v>0.87</v>
      </c>
      <c r="U1113">
        <v>1.66</v>
      </c>
      <c r="V1113">
        <v>1.95</v>
      </c>
      <c r="W1113">
        <v>3.46</v>
      </c>
      <c r="X1113">
        <v>2.13</v>
      </c>
      <c r="Y1113">
        <v>1.86</v>
      </c>
      <c r="Z1113">
        <v>0.28999999999999998</v>
      </c>
      <c r="AA1113">
        <v>2.14</v>
      </c>
      <c r="AB1113">
        <v>2.19</v>
      </c>
      <c r="AC1113">
        <v>2.88</v>
      </c>
      <c r="AD1113">
        <v>1.45</v>
      </c>
      <c r="AE1113">
        <v>7.69</v>
      </c>
      <c r="AF1113">
        <v>2.773333333333333</v>
      </c>
      <c r="AG1113" t="str">
        <f>HYPERLINK("https://finance.naver.com/item/fchart.naver?code=072950", "빛샘전자 차트보기")</f>
        <v>빛샘전자 차트보기</v>
      </c>
    </row>
    <row r="1114" spans="1:33" x14ac:dyDescent="0.3">
      <c r="A1114" t="s">
        <v>4483</v>
      </c>
      <c r="B1114" t="s">
        <v>55</v>
      </c>
      <c r="C1114" t="s">
        <v>4484</v>
      </c>
      <c r="D1114">
        <v>74368.240000000005</v>
      </c>
      <c r="E1114" t="s">
        <v>4485</v>
      </c>
      <c r="F1114">
        <v>13.5</v>
      </c>
      <c r="G1114">
        <v>1.120000004768372</v>
      </c>
      <c r="H1114">
        <v>103</v>
      </c>
      <c r="I1114">
        <v>0</v>
      </c>
      <c r="J1114" t="s">
        <v>4486</v>
      </c>
      <c r="K1114">
        <v>1731</v>
      </c>
      <c r="L1114">
        <v>1390</v>
      </c>
      <c r="M1114">
        <v>-19.7</v>
      </c>
      <c r="N1114">
        <v>0.72</v>
      </c>
      <c r="O1114">
        <v>3.31</v>
      </c>
      <c r="P1114">
        <v>-1.08</v>
      </c>
      <c r="Q1114">
        <v>-9.4</v>
      </c>
      <c r="R1114">
        <v>-4.16</v>
      </c>
      <c r="S1114">
        <v>-8.2799999999999994</v>
      </c>
      <c r="T1114">
        <v>1.53</v>
      </c>
      <c r="U1114">
        <v>1.37</v>
      </c>
      <c r="V1114">
        <v>1.87</v>
      </c>
      <c r="W1114">
        <v>3.77</v>
      </c>
      <c r="X1114">
        <v>1.1299999999999999</v>
      </c>
      <c r="Y1114">
        <v>1.18</v>
      </c>
      <c r="Z1114">
        <v>0.47</v>
      </c>
      <c r="AA1114">
        <v>2.42</v>
      </c>
      <c r="AB1114">
        <v>0.57999999999999996</v>
      </c>
      <c r="AC1114">
        <v>2.4900000000000002</v>
      </c>
      <c r="AD1114">
        <v>3.68</v>
      </c>
      <c r="AE1114">
        <v>7.02</v>
      </c>
      <c r="AF1114">
        <v>2.7766666666666668</v>
      </c>
      <c r="AG1114" t="str">
        <f>HYPERLINK("https://finance.naver.com/item/fchart.naver?code=063440", "SM Life Design 차트보기")</f>
        <v>SM Life Design 차트보기</v>
      </c>
    </row>
    <row r="1115" spans="1:33" x14ac:dyDescent="0.3">
      <c r="A1115" t="s">
        <v>4487</v>
      </c>
      <c r="B1115" t="s">
        <v>55</v>
      </c>
      <c r="C1115" t="s">
        <v>4488</v>
      </c>
      <c r="D1115">
        <v>92105.43</v>
      </c>
      <c r="E1115" t="s">
        <v>4489</v>
      </c>
      <c r="F1115">
        <v>33.93</v>
      </c>
      <c r="G1115">
        <v>3.0099999904632568</v>
      </c>
      <c r="H1115">
        <v>56</v>
      </c>
      <c r="I1115">
        <v>0</v>
      </c>
      <c r="J1115" t="s">
        <v>4490</v>
      </c>
      <c r="K1115">
        <v>3360</v>
      </c>
      <c r="L1115">
        <v>1900</v>
      </c>
      <c r="M1115">
        <v>-43.45</v>
      </c>
      <c r="N1115">
        <v>-2.81</v>
      </c>
      <c r="O1115">
        <v>-9.14</v>
      </c>
      <c r="P1115">
        <v>-4.24</v>
      </c>
      <c r="Q1115">
        <v>-9.33</v>
      </c>
      <c r="R1115">
        <v>-6.88</v>
      </c>
      <c r="S1115">
        <v>-5.46</v>
      </c>
      <c r="T1115">
        <v>2.12</v>
      </c>
      <c r="U1115">
        <v>1.53</v>
      </c>
      <c r="V1115">
        <v>2.85</v>
      </c>
      <c r="W1115">
        <v>4.01</v>
      </c>
      <c r="X1115">
        <v>1.75</v>
      </c>
      <c r="Y1115">
        <v>3.39</v>
      </c>
      <c r="Z1115">
        <v>1.33</v>
      </c>
      <c r="AA1115">
        <v>5.97</v>
      </c>
      <c r="AB1115">
        <v>1.49</v>
      </c>
      <c r="AC1115">
        <v>2.33</v>
      </c>
      <c r="AD1115">
        <v>3.93</v>
      </c>
      <c r="AE1115">
        <v>1.61</v>
      </c>
      <c r="AF1115">
        <v>2.7766666666666668</v>
      </c>
      <c r="AG1115" t="str">
        <f>HYPERLINK("https://finance.naver.com/item/fchart.naver?code=391710", "코닉오토메이션 차트보기")</f>
        <v>코닉오토메이션 차트보기</v>
      </c>
    </row>
    <row r="1116" spans="1:33" x14ac:dyDescent="0.3">
      <c r="A1116" t="s">
        <v>4491</v>
      </c>
      <c r="B1116" t="s">
        <v>55</v>
      </c>
      <c r="C1116" t="s">
        <v>4492</v>
      </c>
      <c r="D1116">
        <v>63855.76</v>
      </c>
      <c r="E1116" t="s">
        <v>4493</v>
      </c>
      <c r="F1116">
        <v>14.65</v>
      </c>
      <c r="G1116">
        <v>0.60000002384185791</v>
      </c>
      <c r="H1116">
        <v>85</v>
      </c>
      <c r="I1116">
        <v>0</v>
      </c>
      <c r="J1116" t="s">
        <v>4494</v>
      </c>
      <c r="K1116">
        <v>1194</v>
      </c>
      <c r="L1116">
        <v>1245</v>
      </c>
      <c r="M1116">
        <v>4.2699999999999996</v>
      </c>
      <c r="N1116">
        <v>5.0599999999999996</v>
      </c>
      <c r="O1116">
        <v>10.93</v>
      </c>
      <c r="P1116">
        <v>-0.75</v>
      </c>
      <c r="Q1116">
        <v>-4.8899999999999997</v>
      </c>
      <c r="R1116">
        <v>-6.51</v>
      </c>
      <c r="S1116">
        <v>-5.83</v>
      </c>
      <c r="T1116">
        <v>1.72</v>
      </c>
      <c r="U1116">
        <v>3.05</v>
      </c>
      <c r="V1116">
        <v>1.46</v>
      </c>
      <c r="W1116">
        <v>2.74</v>
      </c>
      <c r="X1116">
        <v>1.23</v>
      </c>
      <c r="Y1116">
        <v>2.27</v>
      </c>
      <c r="Z1116">
        <v>2.94</v>
      </c>
      <c r="AA1116">
        <v>3.58</v>
      </c>
      <c r="AB1116">
        <v>0.51</v>
      </c>
      <c r="AC1116">
        <v>1.78</v>
      </c>
      <c r="AD1116">
        <v>5.29</v>
      </c>
      <c r="AE1116">
        <v>2.57</v>
      </c>
      <c r="AF1116">
        <v>2.7783333333333329</v>
      </c>
      <c r="AG1116" t="str">
        <f>HYPERLINK("https://finance.naver.com/item/fchart.naver?code=038060", "루멘스 차트보기")</f>
        <v>루멘스 차트보기</v>
      </c>
    </row>
    <row r="1117" spans="1:33" x14ac:dyDescent="0.3">
      <c r="A1117" t="s">
        <v>4495</v>
      </c>
      <c r="B1117" t="s">
        <v>34</v>
      </c>
      <c r="C1117" t="s">
        <v>4496</v>
      </c>
      <c r="D1117">
        <v>1214</v>
      </c>
      <c r="E1117" t="s">
        <v>4497</v>
      </c>
      <c r="F1117">
        <v>0</v>
      </c>
      <c r="G1117">
        <v>0</v>
      </c>
      <c r="H1117">
        <v>0</v>
      </c>
      <c r="I1117">
        <v>0</v>
      </c>
      <c r="J1117" t="s">
        <v>4498</v>
      </c>
      <c r="K1117">
        <v>6670</v>
      </c>
      <c r="L1117">
        <v>5430</v>
      </c>
      <c r="M1117">
        <v>-18.59</v>
      </c>
      <c r="N1117">
        <v>-3.89</v>
      </c>
      <c r="O1117">
        <v>-1.05</v>
      </c>
      <c r="P1117">
        <v>-4.79</v>
      </c>
      <c r="Q1117">
        <v>-11.18</v>
      </c>
      <c r="R1117">
        <v>-6.1</v>
      </c>
      <c r="S1117">
        <v>3.24</v>
      </c>
      <c r="T1117">
        <v>2.37</v>
      </c>
      <c r="U1117">
        <v>1.49</v>
      </c>
      <c r="V1117">
        <v>1.9</v>
      </c>
      <c r="W1117">
        <v>3.36</v>
      </c>
      <c r="X1117">
        <v>1.18</v>
      </c>
      <c r="Y1117">
        <v>0.98</v>
      </c>
      <c r="Z1117">
        <v>1.64</v>
      </c>
      <c r="AA1117">
        <v>0.7</v>
      </c>
      <c r="AB1117">
        <v>2.52</v>
      </c>
      <c r="AC1117">
        <v>3.33</v>
      </c>
      <c r="AD1117">
        <v>5.17</v>
      </c>
      <c r="AE1117">
        <v>3.31</v>
      </c>
      <c r="AF1117">
        <v>2.7783333333333329</v>
      </c>
      <c r="AG1117" t="str">
        <f>HYPERLINK("https://finance.naver.com/item/fchart.naver?code=007815", "코리아써우 차트보기")</f>
        <v>코리아써우 차트보기</v>
      </c>
    </row>
    <row r="1118" spans="1:33" x14ac:dyDescent="0.3">
      <c r="A1118" t="s">
        <v>4499</v>
      </c>
      <c r="B1118" t="s">
        <v>55</v>
      </c>
      <c r="C1118" t="s">
        <v>4500</v>
      </c>
      <c r="D1118">
        <v>973403.86</v>
      </c>
      <c r="E1118" t="s">
        <v>4501</v>
      </c>
      <c r="F1118">
        <v>0</v>
      </c>
      <c r="G1118">
        <v>0.44999998807907099</v>
      </c>
      <c r="H1118">
        <v>0</v>
      </c>
      <c r="I1118">
        <v>0</v>
      </c>
      <c r="J1118" t="s">
        <v>4502</v>
      </c>
      <c r="K1118">
        <v>4035</v>
      </c>
      <c r="L1118">
        <v>3295</v>
      </c>
      <c r="M1118">
        <v>-18.34</v>
      </c>
      <c r="N1118">
        <v>-10.46</v>
      </c>
      <c r="O1118">
        <v>18.68</v>
      </c>
      <c r="P1118">
        <v>-1.29</v>
      </c>
      <c r="Q1118">
        <v>-18.940000000000001</v>
      </c>
      <c r="R1118">
        <v>-11.7</v>
      </c>
      <c r="S1118">
        <v>3.42</v>
      </c>
      <c r="T1118">
        <v>3.66</v>
      </c>
      <c r="U1118">
        <v>4.16</v>
      </c>
      <c r="V1118">
        <v>2.41</v>
      </c>
      <c r="W1118">
        <v>4.49</v>
      </c>
      <c r="X1118">
        <v>4.32</v>
      </c>
      <c r="Y1118">
        <v>1.85</v>
      </c>
      <c r="Z1118">
        <v>2.86</v>
      </c>
      <c r="AA1118">
        <v>4.49</v>
      </c>
      <c r="AB1118">
        <v>0.54</v>
      </c>
      <c r="AC1118">
        <v>4.22</v>
      </c>
      <c r="AD1118">
        <v>2.71</v>
      </c>
      <c r="AE1118">
        <v>1.85</v>
      </c>
      <c r="AF1118">
        <v>2.7783333333333342</v>
      </c>
      <c r="AG1118" t="str">
        <f>HYPERLINK("https://finance.naver.com/item/fchart.naver?code=187220", "디티앤씨 차트보기")</f>
        <v>디티앤씨 차트보기</v>
      </c>
    </row>
    <row r="1119" spans="1:33" x14ac:dyDescent="0.3">
      <c r="A1119" t="s">
        <v>4503</v>
      </c>
      <c r="B1119" t="s">
        <v>34</v>
      </c>
      <c r="C1119" t="s">
        <v>4504</v>
      </c>
      <c r="D1119">
        <v>43732.71</v>
      </c>
      <c r="E1119" t="s">
        <v>4505</v>
      </c>
      <c r="F1119">
        <v>57.93</v>
      </c>
      <c r="G1119">
        <v>0.97000002861022949</v>
      </c>
      <c r="H1119">
        <v>1286</v>
      </c>
      <c r="I1119">
        <v>0.93999999761581421</v>
      </c>
      <c r="J1119" t="s">
        <v>4506</v>
      </c>
      <c r="K1119">
        <v>65300</v>
      </c>
      <c r="L1119">
        <v>74500</v>
      </c>
      <c r="M1119">
        <v>14.09</v>
      </c>
      <c r="N1119">
        <v>-1.19</v>
      </c>
      <c r="O1119">
        <v>9.56</v>
      </c>
      <c r="P1119">
        <v>-8.3699999999999992</v>
      </c>
      <c r="Q1119">
        <v>6.57</v>
      </c>
      <c r="R1119">
        <v>7.53</v>
      </c>
      <c r="S1119">
        <v>3.97</v>
      </c>
      <c r="T1119">
        <v>1.2</v>
      </c>
      <c r="U1119">
        <v>2.46</v>
      </c>
      <c r="V1119">
        <v>2.2599999999999998</v>
      </c>
      <c r="W1119">
        <v>2.69</v>
      </c>
      <c r="X1119">
        <v>2.15</v>
      </c>
      <c r="Y1119">
        <v>1.84</v>
      </c>
      <c r="Z1119">
        <v>0.99</v>
      </c>
      <c r="AA1119">
        <v>3.89</v>
      </c>
      <c r="AB1119">
        <v>3.7</v>
      </c>
      <c r="AC1119">
        <v>2.44</v>
      </c>
      <c r="AD1119">
        <v>3.5</v>
      </c>
      <c r="AE1119">
        <v>2.16</v>
      </c>
      <c r="AF1119">
        <v>2.78</v>
      </c>
      <c r="AG1119" t="str">
        <f>HYPERLINK("https://finance.naver.com/item/fchart.naver?code=170900", "동아에스티 차트보기")</f>
        <v>동아에스티 차트보기</v>
      </c>
    </row>
    <row r="1120" spans="1:33" x14ac:dyDescent="0.3">
      <c r="A1120" t="s">
        <v>4507</v>
      </c>
      <c r="B1120" t="s">
        <v>34</v>
      </c>
      <c r="C1120" t="s">
        <v>4508</v>
      </c>
      <c r="D1120">
        <v>454542.95</v>
      </c>
      <c r="E1120" t="s">
        <v>4509</v>
      </c>
      <c r="F1120">
        <v>51.83</v>
      </c>
      <c r="G1120">
        <v>1.870000004768372</v>
      </c>
      <c r="H1120">
        <v>175</v>
      </c>
      <c r="I1120">
        <v>0.6600000262260437</v>
      </c>
      <c r="J1120" t="s">
        <v>4510</v>
      </c>
      <c r="K1120">
        <v>7470</v>
      </c>
      <c r="L1120">
        <v>9070</v>
      </c>
      <c r="M1120">
        <v>21.42</v>
      </c>
      <c r="N1120">
        <v>-8.94</v>
      </c>
      <c r="O1120">
        <v>4.95</v>
      </c>
      <c r="P1120">
        <v>1.61</v>
      </c>
      <c r="Q1120">
        <v>-20.059999999999999</v>
      </c>
      <c r="R1120">
        <v>-30.57</v>
      </c>
      <c r="S1120">
        <v>7.88</v>
      </c>
      <c r="T1120">
        <v>4.88</v>
      </c>
      <c r="U1120">
        <v>5.65</v>
      </c>
      <c r="V1120">
        <v>3.49</v>
      </c>
      <c r="W1120">
        <v>5.76</v>
      </c>
      <c r="X1120">
        <v>3.38</v>
      </c>
      <c r="Y1120">
        <v>7.89</v>
      </c>
      <c r="Z1120">
        <v>1.83</v>
      </c>
      <c r="AA1120">
        <v>0.88</v>
      </c>
      <c r="AB1120">
        <v>0.46</v>
      </c>
      <c r="AC1120">
        <v>3.48</v>
      </c>
      <c r="AD1120">
        <v>9.0399999999999991</v>
      </c>
      <c r="AE1120">
        <v>1</v>
      </c>
      <c r="AF1120">
        <v>2.7816666666666658</v>
      </c>
      <c r="AG1120" t="str">
        <f>HYPERLINK("https://finance.naver.com/item/fchart.naver?code=001340", "백광산업 차트보기")</f>
        <v>백광산업 차트보기</v>
      </c>
    </row>
    <row r="1121" spans="1:33" x14ac:dyDescent="0.3">
      <c r="A1121" t="s">
        <v>4511</v>
      </c>
      <c r="B1121" t="s">
        <v>55</v>
      </c>
      <c r="C1121" t="s">
        <v>4512</v>
      </c>
      <c r="D1121">
        <v>555143.76</v>
      </c>
      <c r="E1121" t="s">
        <v>4513</v>
      </c>
      <c r="F1121">
        <v>0</v>
      </c>
      <c r="G1121">
        <v>0.27000001072883612</v>
      </c>
      <c r="H1121">
        <v>0</v>
      </c>
      <c r="I1121">
        <v>0</v>
      </c>
      <c r="J1121" t="s">
        <v>4514</v>
      </c>
      <c r="K1121">
        <v>4020</v>
      </c>
      <c r="L1121">
        <v>3685</v>
      </c>
      <c r="M1121">
        <v>-8.33</v>
      </c>
      <c r="N1121">
        <v>-10.99</v>
      </c>
      <c r="O1121">
        <v>-6.77</v>
      </c>
      <c r="P1121">
        <v>1.1000000000000001</v>
      </c>
      <c r="Q1121">
        <v>3.68</v>
      </c>
      <c r="R1121">
        <v>-15.75</v>
      </c>
      <c r="S1121">
        <v>-19.739999999999998</v>
      </c>
      <c r="T1121">
        <v>4.8600000000000003</v>
      </c>
      <c r="U1121">
        <v>2.29</v>
      </c>
      <c r="V1121">
        <v>2.29</v>
      </c>
      <c r="W1121">
        <v>7.51</v>
      </c>
      <c r="X1121">
        <v>2.33</v>
      </c>
      <c r="Y1121">
        <v>5.26</v>
      </c>
      <c r="Z1121">
        <v>2.2599999999999998</v>
      </c>
      <c r="AA1121">
        <v>2.96</v>
      </c>
      <c r="AB1121">
        <v>0.48</v>
      </c>
      <c r="AC1121">
        <v>0.49</v>
      </c>
      <c r="AD1121">
        <v>6.76</v>
      </c>
      <c r="AE1121">
        <v>3.75</v>
      </c>
      <c r="AF1121">
        <v>2.7833333333333332</v>
      </c>
      <c r="AG1121" t="str">
        <f>HYPERLINK("https://finance.naver.com/item/fchart.naver?code=032940", "원익 차트보기")</f>
        <v>원익 차트보기</v>
      </c>
    </row>
    <row r="1122" spans="1:33" x14ac:dyDescent="0.3">
      <c r="A1122" t="s">
        <v>4515</v>
      </c>
      <c r="B1122" t="s">
        <v>55</v>
      </c>
      <c r="C1122" t="s">
        <v>4516</v>
      </c>
      <c r="D1122">
        <v>263372.81</v>
      </c>
      <c r="E1122" t="s">
        <v>4517</v>
      </c>
      <c r="F1122">
        <v>0</v>
      </c>
      <c r="G1122">
        <v>2.2100000381469731</v>
      </c>
      <c r="H1122">
        <v>0</v>
      </c>
      <c r="I1122">
        <v>0</v>
      </c>
      <c r="J1122" t="s">
        <v>4518</v>
      </c>
      <c r="K1122">
        <v>2680</v>
      </c>
      <c r="L1122">
        <v>2690</v>
      </c>
      <c r="M1122">
        <v>0.37</v>
      </c>
      <c r="N1122">
        <v>6.53</v>
      </c>
      <c r="O1122">
        <v>4.37</v>
      </c>
      <c r="P1122">
        <v>5.88</v>
      </c>
      <c r="Q1122">
        <v>5.52</v>
      </c>
      <c r="R1122">
        <v>-8.33</v>
      </c>
      <c r="S1122">
        <v>-15.34</v>
      </c>
      <c r="T1122">
        <v>3.64</v>
      </c>
      <c r="U1122">
        <v>2.68</v>
      </c>
      <c r="V1122">
        <v>2.87</v>
      </c>
      <c r="W1122">
        <v>2.46</v>
      </c>
      <c r="X1122">
        <v>3.11</v>
      </c>
      <c r="Y1122">
        <v>2.4300000000000002</v>
      </c>
      <c r="Z1122">
        <v>1.79</v>
      </c>
      <c r="AA1122">
        <v>1.63</v>
      </c>
      <c r="AB1122">
        <v>2.0499999999999998</v>
      </c>
      <c r="AC1122">
        <v>2.2400000000000002</v>
      </c>
      <c r="AD1122">
        <v>2.68</v>
      </c>
      <c r="AE1122">
        <v>6.31</v>
      </c>
      <c r="AF1122">
        <v>2.7833333333333332</v>
      </c>
      <c r="AG1122" t="str">
        <f>HYPERLINK("https://finance.naver.com/item/fchart.naver?code=105550", "엣지파운드리 차트보기")</f>
        <v>엣지파운드리 차트보기</v>
      </c>
    </row>
    <row r="1123" spans="1:33" x14ac:dyDescent="0.3">
      <c r="A1123" t="s">
        <v>4519</v>
      </c>
      <c r="B1123" t="s">
        <v>55</v>
      </c>
      <c r="C1123" t="s">
        <v>4520</v>
      </c>
      <c r="D1123">
        <v>25606.240000000002</v>
      </c>
      <c r="E1123" t="s">
        <v>4521</v>
      </c>
      <c r="F1123">
        <v>14.18</v>
      </c>
      <c r="G1123">
        <v>1.190000057220459</v>
      </c>
      <c r="H1123">
        <v>469</v>
      </c>
      <c r="I1123">
        <v>1.200000047683716</v>
      </c>
      <c r="J1123" t="s">
        <v>4522</v>
      </c>
      <c r="K1123">
        <v>8840</v>
      </c>
      <c r="L1123">
        <v>6650</v>
      </c>
      <c r="M1123">
        <v>-24.77</v>
      </c>
      <c r="N1123">
        <v>-2.4900000000000002</v>
      </c>
      <c r="O1123">
        <v>-2.13</v>
      </c>
      <c r="P1123">
        <v>-5.18</v>
      </c>
      <c r="Q1123">
        <v>-10.15</v>
      </c>
      <c r="R1123">
        <v>-2.67</v>
      </c>
      <c r="S1123">
        <v>0.23</v>
      </c>
      <c r="T1123">
        <v>1.03</v>
      </c>
      <c r="U1123">
        <v>1.01</v>
      </c>
      <c r="V1123">
        <v>1.33</v>
      </c>
      <c r="W1123">
        <v>2.2599999999999998</v>
      </c>
      <c r="X1123">
        <v>0.77</v>
      </c>
      <c r="Y1123">
        <v>0.7</v>
      </c>
      <c r="Z1123">
        <v>2.42</v>
      </c>
      <c r="AA1123">
        <v>2.11</v>
      </c>
      <c r="AB1123">
        <v>3.89</v>
      </c>
      <c r="AC1123">
        <v>4.49</v>
      </c>
      <c r="AD1123">
        <v>3.47</v>
      </c>
      <c r="AE1123">
        <v>0.33</v>
      </c>
      <c r="AF1123">
        <v>2.7850000000000001</v>
      </c>
      <c r="AG1123" t="str">
        <f>HYPERLINK("https://finance.naver.com/item/fchart.naver?code=060850", "영림원소프트랩 차트보기")</f>
        <v>영림원소프트랩 차트보기</v>
      </c>
    </row>
    <row r="1124" spans="1:33" x14ac:dyDescent="0.3">
      <c r="A1124" t="s">
        <v>4523</v>
      </c>
      <c r="B1124" t="s">
        <v>34</v>
      </c>
      <c r="C1124" t="s">
        <v>4524</v>
      </c>
      <c r="D1124">
        <v>30059.57</v>
      </c>
      <c r="E1124" t="s">
        <v>4525</v>
      </c>
      <c r="F1124">
        <v>5.01</v>
      </c>
      <c r="G1124">
        <v>0.33000001311302191</v>
      </c>
      <c r="H1124">
        <v>759</v>
      </c>
      <c r="I1124">
        <v>3.6800000667572021</v>
      </c>
      <c r="J1124" t="s">
        <v>4526</v>
      </c>
      <c r="K1124">
        <v>4245</v>
      </c>
      <c r="L1124">
        <v>3805</v>
      </c>
      <c r="M1124">
        <v>-10.37</v>
      </c>
      <c r="N1124">
        <v>-2.93</v>
      </c>
      <c r="O1124">
        <v>-8.65</v>
      </c>
      <c r="P1124">
        <v>-4.6399999999999997</v>
      </c>
      <c r="Q1124">
        <v>2.1</v>
      </c>
      <c r="R1124">
        <v>2.57</v>
      </c>
      <c r="S1124">
        <v>1.3</v>
      </c>
      <c r="T1124">
        <v>1.22</v>
      </c>
      <c r="U1124">
        <v>1.04</v>
      </c>
      <c r="V1124">
        <v>1.68</v>
      </c>
      <c r="W1124">
        <v>2.79</v>
      </c>
      <c r="X1124">
        <v>2.09</v>
      </c>
      <c r="Y1124">
        <v>1.04</v>
      </c>
      <c r="Z1124">
        <v>2.4</v>
      </c>
      <c r="AA1124">
        <v>8.32</v>
      </c>
      <c r="AB1124">
        <v>2.76</v>
      </c>
      <c r="AC1124">
        <v>0.75</v>
      </c>
      <c r="AD1124">
        <v>1.23</v>
      </c>
      <c r="AE1124">
        <v>1.25</v>
      </c>
      <c r="AF1124">
        <v>2.7850000000000001</v>
      </c>
      <c r="AG1124" t="str">
        <f>HYPERLINK("https://finance.naver.com/item/fchart.naver?code=089470", "HDC현대EP 차트보기")</f>
        <v>HDC현대EP 차트보기</v>
      </c>
    </row>
    <row r="1125" spans="1:33" x14ac:dyDescent="0.3">
      <c r="A1125" t="s">
        <v>4527</v>
      </c>
      <c r="B1125" t="s">
        <v>55</v>
      </c>
      <c r="C1125" t="s">
        <v>4528</v>
      </c>
      <c r="D1125">
        <v>227446.57</v>
      </c>
      <c r="E1125" t="s">
        <v>4529</v>
      </c>
      <c r="F1125">
        <v>0</v>
      </c>
      <c r="G1125">
        <v>1.75</v>
      </c>
      <c r="H1125">
        <v>0</v>
      </c>
      <c r="I1125">
        <v>1.3999999761581421</v>
      </c>
      <c r="J1125" t="s">
        <v>4530</v>
      </c>
      <c r="K1125">
        <v>6320</v>
      </c>
      <c r="L1125">
        <v>6450</v>
      </c>
      <c r="M1125">
        <v>2.06</v>
      </c>
      <c r="N1125">
        <v>22.39</v>
      </c>
      <c r="O1125">
        <v>3.52</v>
      </c>
      <c r="P1125">
        <v>-4.83</v>
      </c>
      <c r="Q1125">
        <v>0.18</v>
      </c>
      <c r="R1125">
        <v>-7.13</v>
      </c>
      <c r="S1125">
        <v>-1.47</v>
      </c>
      <c r="T1125">
        <v>4.51</v>
      </c>
      <c r="U1125">
        <v>1.83</v>
      </c>
      <c r="V1125">
        <v>2.11</v>
      </c>
      <c r="W1125">
        <v>2.0099999999999998</v>
      </c>
      <c r="X1125">
        <v>1.07</v>
      </c>
      <c r="Y1125">
        <v>1.85</v>
      </c>
      <c r="Z1125">
        <v>4.96</v>
      </c>
      <c r="AA1125">
        <v>1.92</v>
      </c>
      <c r="AB1125">
        <v>2.29</v>
      </c>
      <c r="AC1125">
        <v>0.09</v>
      </c>
      <c r="AD1125">
        <v>6.66</v>
      </c>
      <c r="AE1125">
        <v>0.79</v>
      </c>
      <c r="AF1125">
        <v>2.7850000000000001</v>
      </c>
      <c r="AG1125" t="str">
        <f>HYPERLINK("https://finance.naver.com/item/fchart.naver?code=090850", "현대이지웰 차트보기")</f>
        <v>현대이지웰 차트보기</v>
      </c>
    </row>
    <row r="1126" spans="1:33" x14ac:dyDescent="0.3">
      <c r="A1126" t="s">
        <v>4531</v>
      </c>
      <c r="B1126" t="s">
        <v>55</v>
      </c>
      <c r="C1126" t="s">
        <v>4532</v>
      </c>
      <c r="D1126">
        <v>53670.67</v>
      </c>
      <c r="E1126" t="s">
        <v>4533</v>
      </c>
      <c r="F1126">
        <v>0</v>
      </c>
      <c r="G1126">
        <v>8.7600002288818359</v>
      </c>
      <c r="H1126">
        <v>0</v>
      </c>
      <c r="I1126">
        <v>0</v>
      </c>
      <c r="J1126" t="s">
        <v>4534</v>
      </c>
      <c r="K1126">
        <v>33950</v>
      </c>
      <c r="L1126">
        <v>20000</v>
      </c>
      <c r="M1126">
        <v>-41.09</v>
      </c>
      <c r="N1126">
        <v>-0.5</v>
      </c>
      <c r="O1126">
        <v>-10.57</v>
      </c>
      <c r="P1126">
        <v>-8.93</v>
      </c>
      <c r="Q1126">
        <v>1.45</v>
      </c>
      <c r="R1126">
        <v>-24.35</v>
      </c>
      <c r="S1126">
        <v>-1.1299999999999999</v>
      </c>
      <c r="T1126">
        <v>2.97</v>
      </c>
      <c r="U1126">
        <v>2.69</v>
      </c>
      <c r="V1126">
        <v>3.34</v>
      </c>
      <c r="W1126">
        <v>5.5</v>
      </c>
      <c r="X1126">
        <v>2.73</v>
      </c>
      <c r="Y1126">
        <v>1.47</v>
      </c>
      <c r="Z1126">
        <v>0.17</v>
      </c>
      <c r="AA1126">
        <v>3.93</v>
      </c>
      <c r="AB1126">
        <v>2.67</v>
      </c>
      <c r="AC1126">
        <v>0.26</v>
      </c>
      <c r="AD1126">
        <v>8.92</v>
      </c>
      <c r="AE1126">
        <v>0.77</v>
      </c>
      <c r="AF1126">
        <v>2.7866666666666671</v>
      </c>
      <c r="AG1126" t="str">
        <f>HYPERLINK("https://finance.naver.com/item/fchart.naver?code=348340", "뉴로메카 차트보기")</f>
        <v>뉴로메카 차트보기</v>
      </c>
    </row>
    <row r="1127" spans="1:33" x14ac:dyDescent="0.3">
      <c r="A1127" t="s">
        <v>4535</v>
      </c>
      <c r="B1127" t="s">
        <v>34</v>
      </c>
      <c r="C1127" t="s">
        <v>4536</v>
      </c>
      <c r="D1127">
        <v>17680.330000000002</v>
      </c>
      <c r="E1127" t="s">
        <v>4537</v>
      </c>
      <c r="F1127">
        <v>13.7</v>
      </c>
      <c r="G1127">
        <v>0.37000000476837158</v>
      </c>
      <c r="H1127">
        <v>468</v>
      </c>
      <c r="I1127">
        <v>3.119999885559082</v>
      </c>
      <c r="J1127" t="s">
        <v>4538</v>
      </c>
      <c r="K1127">
        <v>6880</v>
      </c>
      <c r="L1127">
        <v>6410</v>
      </c>
      <c r="M1127">
        <v>-6.83</v>
      </c>
      <c r="N1127">
        <v>3.55</v>
      </c>
      <c r="O1127">
        <v>-5.2</v>
      </c>
      <c r="P1127">
        <v>-2.06</v>
      </c>
      <c r="Q1127">
        <v>-11.56</v>
      </c>
      <c r="R1127">
        <v>8.5</v>
      </c>
      <c r="S1127">
        <v>5.91</v>
      </c>
      <c r="T1127">
        <v>2.5</v>
      </c>
      <c r="U1127">
        <v>1.1399999999999999</v>
      </c>
      <c r="V1127">
        <v>2.33</v>
      </c>
      <c r="W1127">
        <v>3.95</v>
      </c>
      <c r="X1127">
        <v>3.23</v>
      </c>
      <c r="Y1127">
        <v>1.37</v>
      </c>
      <c r="Z1127">
        <v>1.42</v>
      </c>
      <c r="AA1127">
        <v>4.5599999999999996</v>
      </c>
      <c r="AB1127">
        <v>0.88</v>
      </c>
      <c r="AC1127">
        <v>2.93</v>
      </c>
      <c r="AD1127">
        <v>2.63</v>
      </c>
      <c r="AE1127">
        <v>4.3099999999999996</v>
      </c>
      <c r="AF1127">
        <v>2.7883333333333331</v>
      </c>
      <c r="AG1127" t="str">
        <f>HYPERLINK("https://finance.naver.com/item/fchart.naver?code=004910", "조광페인트 차트보기")</f>
        <v>조광페인트 차트보기</v>
      </c>
    </row>
    <row r="1128" spans="1:33" x14ac:dyDescent="0.3">
      <c r="A1128" t="s">
        <v>4539</v>
      </c>
      <c r="B1128" t="s">
        <v>34</v>
      </c>
      <c r="C1128" t="s">
        <v>4540</v>
      </c>
      <c r="D1128">
        <v>33701.24</v>
      </c>
      <c r="E1128" t="s">
        <v>4541</v>
      </c>
      <c r="F1128">
        <v>9.48</v>
      </c>
      <c r="G1128">
        <v>0.98000001907348633</v>
      </c>
      <c r="H1128">
        <v>6222</v>
      </c>
      <c r="I1128">
        <v>3.0499999523162842</v>
      </c>
      <c r="J1128" t="s">
        <v>4542</v>
      </c>
      <c r="K1128">
        <v>72600</v>
      </c>
      <c r="L1128">
        <v>59000</v>
      </c>
      <c r="M1128">
        <v>-18.73</v>
      </c>
      <c r="N1128">
        <v>-4.07</v>
      </c>
      <c r="O1128">
        <v>-4.3499999999999996</v>
      </c>
      <c r="P1128">
        <v>-6.68</v>
      </c>
      <c r="Q1128">
        <v>-9.8699999999999992</v>
      </c>
      <c r="R1128">
        <v>-6.25</v>
      </c>
      <c r="S1128">
        <v>14.35</v>
      </c>
      <c r="T1128">
        <v>2.04</v>
      </c>
      <c r="U1128">
        <v>2.14</v>
      </c>
      <c r="V1128">
        <v>2.2999999999999998</v>
      </c>
      <c r="W1128">
        <v>3.55</v>
      </c>
      <c r="X1128">
        <v>2.4</v>
      </c>
      <c r="Y1128">
        <v>3.25</v>
      </c>
      <c r="Z1128">
        <v>2</v>
      </c>
      <c r="AA1128">
        <v>2.0299999999999998</v>
      </c>
      <c r="AB1128">
        <v>2.9</v>
      </c>
      <c r="AC1128">
        <v>2.78</v>
      </c>
      <c r="AD1128">
        <v>2.6</v>
      </c>
      <c r="AE1128">
        <v>4.42</v>
      </c>
      <c r="AF1128">
        <v>2.7883333333333331</v>
      </c>
      <c r="AG1128" t="str">
        <f>HYPERLINK("https://finance.naver.com/item/fchart.naver?code=108320", "LX세미콘 차트보기")</f>
        <v>LX세미콘 차트보기</v>
      </c>
    </row>
    <row r="1129" spans="1:33" x14ac:dyDescent="0.3">
      <c r="A1129" t="s">
        <v>4543</v>
      </c>
      <c r="B1129" t="s">
        <v>55</v>
      </c>
      <c r="C1129" t="s">
        <v>4544</v>
      </c>
      <c r="D1129">
        <v>331446.48</v>
      </c>
      <c r="E1129" t="s">
        <v>4545</v>
      </c>
      <c r="F1129">
        <v>0</v>
      </c>
      <c r="G1129">
        <v>0.5</v>
      </c>
      <c r="H1129">
        <v>0</v>
      </c>
      <c r="I1129">
        <v>0</v>
      </c>
      <c r="J1129" t="s">
        <v>4546</v>
      </c>
      <c r="K1129">
        <v>2295</v>
      </c>
      <c r="L1129">
        <v>1339</v>
      </c>
      <c r="M1129">
        <v>-41.66</v>
      </c>
      <c r="N1129">
        <v>-2.0499999999999998</v>
      </c>
      <c r="O1129">
        <v>-15.79</v>
      </c>
      <c r="P1129">
        <v>-4.8099999999999996</v>
      </c>
      <c r="Q1129">
        <v>2.4900000000000002</v>
      </c>
      <c r="R1129">
        <v>-11.38</v>
      </c>
      <c r="S1129">
        <v>-12.82</v>
      </c>
      <c r="T1129">
        <v>0.82</v>
      </c>
      <c r="U1129">
        <v>2.66</v>
      </c>
      <c r="V1129">
        <v>8.1300000000000008</v>
      </c>
      <c r="W1129">
        <v>5.03</v>
      </c>
      <c r="X1129">
        <v>2.79</v>
      </c>
      <c r="Y1129">
        <v>4.1100000000000003</v>
      </c>
      <c r="Z1129">
        <v>2.5</v>
      </c>
      <c r="AA1129">
        <v>5.94</v>
      </c>
      <c r="AB1129">
        <v>0.59</v>
      </c>
      <c r="AC1129">
        <v>0.5</v>
      </c>
      <c r="AD1129">
        <v>4.08</v>
      </c>
      <c r="AE1129">
        <v>3.12</v>
      </c>
      <c r="AF1129">
        <v>2.788333333333334</v>
      </c>
      <c r="AG1129" t="str">
        <f>HYPERLINK("https://finance.naver.com/item/fchart.naver?code=033540", "파라텍 차트보기")</f>
        <v>파라텍 차트보기</v>
      </c>
    </row>
    <row r="1130" spans="1:33" x14ac:dyDescent="0.3">
      <c r="A1130" t="s">
        <v>4547</v>
      </c>
      <c r="B1130" t="s">
        <v>34</v>
      </c>
      <c r="C1130" t="s">
        <v>4548</v>
      </c>
      <c r="D1130">
        <v>344027.19</v>
      </c>
      <c r="E1130" t="s">
        <v>4549</v>
      </c>
      <c r="F1130">
        <v>0</v>
      </c>
      <c r="G1130">
        <v>0.34999999403953552</v>
      </c>
      <c r="H1130">
        <v>0</v>
      </c>
      <c r="I1130">
        <v>0</v>
      </c>
      <c r="J1130" t="s">
        <v>4550</v>
      </c>
      <c r="K1130">
        <v>15740</v>
      </c>
      <c r="L1130">
        <v>17610</v>
      </c>
      <c r="M1130">
        <v>11.88</v>
      </c>
      <c r="N1130">
        <v>-1.18</v>
      </c>
      <c r="O1130">
        <v>-1.28</v>
      </c>
      <c r="P1130">
        <v>-10.1</v>
      </c>
      <c r="Q1130">
        <v>1.23</v>
      </c>
      <c r="R1130">
        <v>29.48</v>
      </c>
      <c r="S1130">
        <v>-0.73</v>
      </c>
      <c r="T1130">
        <v>1.99</v>
      </c>
      <c r="U1130">
        <v>1.9</v>
      </c>
      <c r="V1130">
        <v>2.5099999999999998</v>
      </c>
      <c r="W1130">
        <v>4.6399999999999997</v>
      </c>
      <c r="X1130">
        <v>2.76</v>
      </c>
      <c r="Y1130">
        <v>1.42</v>
      </c>
      <c r="Z1130">
        <v>0.59</v>
      </c>
      <c r="AA1130">
        <v>0.67</v>
      </c>
      <c r="AB1130">
        <v>4.0199999999999996</v>
      </c>
      <c r="AC1130">
        <v>0.27</v>
      </c>
      <c r="AD1130">
        <v>10.68</v>
      </c>
      <c r="AE1130">
        <v>0.51</v>
      </c>
      <c r="AF1130">
        <v>2.79</v>
      </c>
      <c r="AG1130" t="str">
        <f>HYPERLINK("https://finance.naver.com/item/fchart.naver?code=006360", "GS건설 차트보기")</f>
        <v>GS건설 차트보기</v>
      </c>
    </row>
    <row r="1131" spans="1:33" x14ac:dyDescent="0.3">
      <c r="A1131" t="s">
        <v>4551</v>
      </c>
      <c r="B1131" t="s">
        <v>34</v>
      </c>
      <c r="C1131" t="s">
        <v>4552</v>
      </c>
      <c r="D1131">
        <v>174.57</v>
      </c>
      <c r="E1131" t="s">
        <v>4553</v>
      </c>
      <c r="F1131">
        <v>0</v>
      </c>
      <c r="G1131">
        <v>0</v>
      </c>
      <c r="H1131">
        <v>0</v>
      </c>
      <c r="I1131">
        <v>1.8500000238418579</v>
      </c>
      <c r="J1131" t="s">
        <v>4554</v>
      </c>
      <c r="K1131">
        <v>36100</v>
      </c>
      <c r="L1131">
        <v>27300</v>
      </c>
      <c r="M1131">
        <v>-24.38</v>
      </c>
      <c r="N1131">
        <v>-3.36</v>
      </c>
      <c r="O1131">
        <v>-7.06</v>
      </c>
      <c r="P1131">
        <v>1.84</v>
      </c>
      <c r="Q1131">
        <v>-4.6500000000000004</v>
      </c>
      <c r="R1131">
        <v>-4.9000000000000004</v>
      </c>
      <c r="S1131">
        <v>-3.82</v>
      </c>
      <c r="T1131">
        <v>2.15</v>
      </c>
      <c r="U1131">
        <v>1.07</v>
      </c>
      <c r="V1131">
        <v>1.44</v>
      </c>
      <c r="W1131">
        <v>1.72</v>
      </c>
      <c r="X1131">
        <v>2.21</v>
      </c>
      <c r="Y1131">
        <v>1.6</v>
      </c>
      <c r="Z1131">
        <v>1.56</v>
      </c>
      <c r="AA1131">
        <v>6.6</v>
      </c>
      <c r="AB1131">
        <v>1.28</v>
      </c>
      <c r="AC1131">
        <v>2.7</v>
      </c>
      <c r="AD1131">
        <v>2.2200000000000002</v>
      </c>
      <c r="AE1131">
        <v>2.39</v>
      </c>
      <c r="AF1131">
        <v>2.791666666666667</v>
      </c>
      <c r="AG1131" t="str">
        <f>HYPERLINK("https://finance.naver.com/item/fchart.naver?code=000325", "노루홀딩스우 차트보기")</f>
        <v>노루홀딩스우 차트보기</v>
      </c>
    </row>
    <row r="1132" spans="1:33" x14ac:dyDescent="0.3">
      <c r="A1132" t="s">
        <v>4555</v>
      </c>
      <c r="B1132" t="s">
        <v>34</v>
      </c>
      <c r="C1132" t="s">
        <v>4556</v>
      </c>
      <c r="D1132">
        <v>344064.9</v>
      </c>
      <c r="E1132" t="s">
        <v>4557</v>
      </c>
      <c r="F1132">
        <v>12.07</v>
      </c>
      <c r="G1132">
        <v>0.55000001192092896</v>
      </c>
      <c r="H1132">
        <v>83</v>
      </c>
      <c r="I1132">
        <v>0</v>
      </c>
      <c r="J1132" t="s">
        <v>4558</v>
      </c>
      <c r="K1132">
        <v>1294</v>
      </c>
      <c r="L1132">
        <v>1002</v>
      </c>
      <c r="M1132">
        <v>-22.57</v>
      </c>
      <c r="N1132">
        <v>-3.56</v>
      </c>
      <c r="O1132">
        <v>0.19</v>
      </c>
      <c r="P1132">
        <v>-1.71</v>
      </c>
      <c r="Q1132">
        <v>-6.52</v>
      </c>
      <c r="R1132">
        <v>-4.2</v>
      </c>
      <c r="S1132">
        <v>-5.71</v>
      </c>
      <c r="T1132">
        <v>1.23</v>
      </c>
      <c r="U1132">
        <v>1.98</v>
      </c>
      <c r="V1132">
        <v>1.6</v>
      </c>
      <c r="W1132">
        <v>3.03</v>
      </c>
      <c r="X1132">
        <v>1.27</v>
      </c>
      <c r="Y1132">
        <v>0.79</v>
      </c>
      <c r="Z1132">
        <v>2.89</v>
      </c>
      <c r="AA1132">
        <v>0.1</v>
      </c>
      <c r="AB1132">
        <v>1.07</v>
      </c>
      <c r="AC1132">
        <v>2.15</v>
      </c>
      <c r="AD1132">
        <v>3.31</v>
      </c>
      <c r="AE1132">
        <v>7.23</v>
      </c>
      <c r="AF1132">
        <v>2.791666666666667</v>
      </c>
      <c r="AG1132" t="str">
        <f>HYPERLINK("https://finance.naver.com/item/fchart.naver?code=014160", "대영포장 차트보기")</f>
        <v>대영포장 차트보기</v>
      </c>
    </row>
    <row r="1133" spans="1:33" x14ac:dyDescent="0.3">
      <c r="A1133" t="s">
        <v>4559</v>
      </c>
      <c r="B1133" t="s">
        <v>34</v>
      </c>
      <c r="C1133" t="s">
        <v>4560</v>
      </c>
      <c r="D1133">
        <v>3824.05</v>
      </c>
      <c r="E1133" t="s">
        <v>4561</v>
      </c>
      <c r="F1133">
        <v>18.41</v>
      </c>
      <c r="G1133">
        <v>2.1099998950958252</v>
      </c>
      <c r="H1133">
        <v>1706</v>
      </c>
      <c r="I1133">
        <v>3.1800000667572021</v>
      </c>
      <c r="J1133" t="s">
        <v>4562</v>
      </c>
      <c r="K1133">
        <v>33400</v>
      </c>
      <c r="L1133">
        <v>31400</v>
      </c>
      <c r="M1133">
        <v>-5.99</v>
      </c>
      <c r="N1133">
        <v>2.61</v>
      </c>
      <c r="O1133">
        <v>-8.49</v>
      </c>
      <c r="P1133">
        <v>-0.59</v>
      </c>
      <c r="Q1133">
        <v>-0.44</v>
      </c>
      <c r="R1133">
        <v>1.86</v>
      </c>
      <c r="S1133">
        <v>-8.9499999999999993</v>
      </c>
      <c r="T1133">
        <v>0.85</v>
      </c>
      <c r="U1133">
        <v>1.64</v>
      </c>
      <c r="V1133">
        <v>0.78</v>
      </c>
      <c r="W1133">
        <v>1.58</v>
      </c>
      <c r="X1133">
        <v>0.7</v>
      </c>
      <c r="Y1133">
        <v>1.86</v>
      </c>
      <c r="Z1133">
        <v>3.07</v>
      </c>
      <c r="AA1133">
        <v>5.18</v>
      </c>
      <c r="AB1133">
        <v>0.76</v>
      </c>
      <c r="AC1133">
        <v>0.28000000000000003</v>
      </c>
      <c r="AD1133">
        <v>2.66</v>
      </c>
      <c r="AE1133">
        <v>4.8099999999999996</v>
      </c>
      <c r="AF1133">
        <v>2.793333333333333</v>
      </c>
      <c r="AG1133" t="str">
        <f>HYPERLINK("https://finance.naver.com/item/fchart.naver?code=023450", "동남합성 차트보기")</f>
        <v>동남합성 차트보기</v>
      </c>
    </row>
    <row r="1134" spans="1:33" x14ac:dyDescent="0.3">
      <c r="A1134" t="s">
        <v>4563</v>
      </c>
      <c r="B1134" t="s">
        <v>34</v>
      </c>
      <c r="C1134" t="s">
        <v>4564</v>
      </c>
      <c r="D1134">
        <v>19518.189999999999</v>
      </c>
      <c r="E1134" t="s">
        <v>4565</v>
      </c>
      <c r="F1134">
        <v>4.17</v>
      </c>
      <c r="G1134">
        <v>0.44999998807907099</v>
      </c>
      <c r="H1134">
        <v>323</v>
      </c>
      <c r="I1134">
        <v>7.429999828338623</v>
      </c>
      <c r="J1134" t="s">
        <v>4566</v>
      </c>
      <c r="K1134">
        <v>1776</v>
      </c>
      <c r="L1134">
        <v>1346</v>
      </c>
      <c r="M1134">
        <v>-24.21</v>
      </c>
      <c r="N1134">
        <v>-1.39</v>
      </c>
      <c r="O1134">
        <v>-0.91</v>
      </c>
      <c r="P1134">
        <v>-7.0000000000000007E-2</v>
      </c>
      <c r="Q1134">
        <v>5.35</v>
      </c>
      <c r="R1134">
        <v>-8.48</v>
      </c>
      <c r="S1134">
        <v>-5.72</v>
      </c>
      <c r="T1134">
        <v>2.31</v>
      </c>
      <c r="U1134">
        <v>1.1000000000000001</v>
      </c>
      <c r="V1134">
        <v>1.79</v>
      </c>
      <c r="W1134">
        <v>2.62</v>
      </c>
      <c r="X1134">
        <v>1.23</v>
      </c>
      <c r="Y1134">
        <v>0.9</v>
      </c>
      <c r="Z1134">
        <v>0.6</v>
      </c>
      <c r="AA1134">
        <v>0.83</v>
      </c>
      <c r="AB1134">
        <v>0.04</v>
      </c>
      <c r="AC1134">
        <v>2.04</v>
      </c>
      <c r="AD1134">
        <v>6.89</v>
      </c>
      <c r="AE1134">
        <v>6.36</v>
      </c>
      <c r="AF1134">
        <v>2.793333333333333</v>
      </c>
      <c r="AG1134" t="str">
        <f>HYPERLINK("https://finance.naver.com/item/fchart.naver?code=084870", "TBH글로벌 차트보기")</f>
        <v>TBH글로벌 차트보기</v>
      </c>
    </row>
    <row r="1135" spans="1:33" x14ac:dyDescent="0.3">
      <c r="A1135" t="s">
        <v>4567</v>
      </c>
      <c r="B1135" t="s">
        <v>34</v>
      </c>
      <c r="C1135" t="s">
        <v>4568</v>
      </c>
      <c r="D1135">
        <v>136529.1</v>
      </c>
      <c r="E1135" t="s">
        <v>4569</v>
      </c>
      <c r="F1135">
        <v>1.04</v>
      </c>
      <c r="G1135">
        <v>0.36000001430511469</v>
      </c>
      <c r="H1135">
        <v>754</v>
      </c>
      <c r="I1135">
        <v>0</v>
      </c>
      <c r="J1135" t="s">
        <v>4570</v>
      </c>
      <c r="K1135">
        <v>967</v>
      </c>
      <c r="L1135">
        <v>785</v>
      </c>
      <c r="M1135">
        <v>-18.82</v>
      </c>
      <c r="N1135">
        <v>2.88</v>
      </c>
      <c r="O1135">
        <v>-2.78</v>
      </c>
      <c r="P1135">
        <v>-0.99</v>
      </c>
      <c r="Q1135">
        <v>-10.3</v>
      </c>
      <c r="R1135">
        <v>-5.78</v>
      </c>
      <c r="S1135">
        <v>-7.51</v>
      </c>
      <c r="T1135">
        <v>1.49</v>
      </c>
      <c r="U1135">
        <v>1.03</v>
      </c>
      <c r="V1135">
        <v>0.96</v>
      </c>
      <c r="W1135">
        <v>2.69</v>
      </c>
      <c r="X1135">
        <v>1.24</v>
      </c>
      <c r="Y1135">
        <v>2.88</v>
      </c>
      <c r="Z1135">
        <v>1.93</v>
      </c>
      <c r="AA1135">
        <v>2.7</v>
      </c>
      <c r="AB1135">
        <v>1.03</v>
      </c>
      <c r="AC1135">
        <v>3.83</v>
      </c>
      <c r="AD1135">
        <v>4.66</v>
      </c>
      <c r="AE1135">
        <v>2.61</v>
      </c>
      <c r="AF1135">
        <v>2.793333333333333</v>
      </c>
      <c r="AG1135" t="str">
        <f>HYPERLINK("https://finance.naver.com/item/fchart.naver?code=085310", "엔케이 차트보기")</f>
        <v>엔케이 차트보기</v>
      </c>
    </row>
    <row r="1136" spans="1:33" x14ac:dyDescent="0.3">
      <c r="A1136" t="s">
        <v>4571</v>
      </c>
      <c r="B1136" t="s">
        <v>34</v>
      </c>
      <c r="C1136" t="s">
        <v>4572</v>
      </c>
      <c r="D1136">
        <v>78770.62</v>
      </c>
      <c r="E1136" t="s">
        <v>4573</v>
      </c>
      <c r="J1136" t="s">
        <v>4574</v>
      </c>
      <c r="K1136">
        <v>5050</v>
      </c>
      <c r="L1136">
        <v>5230</v>
      </c>
      <c r="M1136">
        <v>3.56</v>
      </c>
      <c r="N1136">
        <v>2.95</v>
      </c>
      <c r="O1136">
        <v>-3.05</v>
      </c>
      <c r="P1136">
        <v>1.55</v>
      </c>
      <c r="Q1136">
        <v>-2.4300000000000002</v>
      </c>
      <c r="R1136">
        <v>2.69</v>
      </c>
      <c r="S1136">
        <v>2.95</v>
      </c>
      <c r="T1136">
        <v>1.98</v>
      </c>
      <c r="U1136">
        <v>0.85</v>
      </c>
      <c r="V1136">
        <v>0.97</v>
      </c>
      <c r="W1136">
        <v>1.1499999999999999</v>
      </c>
      <c r="X1136">
        <v>0.74</v>
      </c>
      <c r="Y1136">
        <v>0.68</v>
      </c>
      <c r="Z1136">
        <v>1.49</v>
      </c>
      <c r="AA1136">
        <v>3.59</v>
      </c>
      <c r="AB1136">
        <v>1.6</v>
      </c>
      <c r="AC1136">
        <v>2.11</v>
      </c>
      <c r="AD1136">
        <v>3.64</v>
      </c>
      <c r="AE1136">
        <v>4.34</v>
      </c>
      <c r="AF1136">
        <v>2.7949999999999999</v>
      </c>
      <c r="AG1136" t="str">
        <f>HYPERLINK("https://finance.naver.com/item/fchart.naver?code=334890", "이지스밸류리츠 차트보기")</f>
        <v>이지스밸류리츠 차트보기</v>
      </c>
    </row>
    <row r="1137" spans="1:33" x14ac:dyDescent="0.3">
      <c r="A1137" t="s">
        <v>4575</v>
      </c>
      <c r="B1137" t="s">
        <v>55</v>
      </c>
      <c r="C1137" t="s">
        <v>4576</v>
      </c>
      <c r="D1137">
        <v>190543.86</v>
      </c>
      <c r="E1137" t="s">
        <v>4577</v>
      </c>
      <c r="F1137">
        <v>9.9499999999999993</v>
      </c>
      <c r="G1137">
        <v>2.279999971389771</v>
      </c>
      <c r="H1137">
        <v>807</v>
      </c>
      <c r="I1137">
        <v>1.25</v>
      </c>
      <c r="J1137" t="s">
        <v>4578</v>
      </c>
      <c r="K1137">
        <v>9400</v>
      </c>
      <c r="L1137">
        <v>8030</v>
      </c>
      <c r="M1137">
        <v>-14.57</v>
      </c>
      <c r="N1137">
        <v>-5.64</v>
      </c>
      <c r="O1137">
        <v>24.08</v>
      </c>
      <c r="P1137">
        <v>3.05</v>
      </c>
      <c r="Q1137">
        <v>-12.34</v>
      </c>
      <c r="R1137">
        <v>-7.27</v>
      </c>
      <c r="S1137">
        <v>-6.76</v>
      </c>
      <c r="T1137">
        <v>3.83</v>
      </c>
      <c r="U1137">
        <v>3.19</v>
      </c>
      <c r="V1137">
        <v>4.13</v>
      </c>
      <c r="W1137">
        <v>3.57</v>
      </c>
      <c r="X1137">
        <v>4.59</v>
      </c>
      <c r="Y1137">
        <v>3.43</v>
      </c>
      <c r="Z1137">
        <v>1.47</v>
      </c>
      <c r="AA1137">
        <v>7.55</v>
      </c>
      <c r="AB1137">
        <v>0.74</v>
      </c>
      <c r="AC1137">
        <v>3.46</v>
      </c>
      <c r="AD1137">
        <v>1.58</v>
      </c>
      <c r="AE1137">
        <v>1.97</v>
      </c>
      <c r="AF1137">
        <v>2.7949999999999999</v>
      </c>
      <c r="AG1137" t="str">
        <f>HYPERLINK("https://finance.naver.com/item/fchart.naver?code=173130", "오파스넷 차트보기")</f>
        <v>오파스넷 차트보기</v>
      </c>
    </row>
    <row r="1138" spans="1:33" x14ac:dyDescent="0.3">
      <c r="A1138" t="s">
        <v>4579</v>
      </c>
      <c r="B1138" t="s">
        <v>34</v>
      </c>
      <c r="C1138" t="s">
        <v>4580</v>
      </c>
      <c r="D1138">
        <v>416950.9</v>
      </c>
      <c r="E1138" t="s">
        <v>4581</v>
      </c>
      <c r="F1138">
        <v>7.26</v>
      </c>
      <c r="G1138">
        <v>0.75999999046325684</v>
      </c>
      <c r="H1138">
        <v>310</v>
      </c>
      <c r="I1138">
        <v>0.88999998569488525</v>
      </c>
      <c r="J1138" t="s">
        <v>4582</v>
      </c>
      <c r="K1138">
        <v>2205</v>
      </c>
      <c r="L1138">
        <v>2250</v>
      </c>
      <c r="M1138">
        <v>2.04</v>
      </c>
      <c r="N1138">
        <v>-1.53</v>
      </c>
      <c r="O1138">
        <v>-15.51</v>
      </c>
      <c r="P1138">
        <v>4.25</v>
      </c>
      <c r="Q1138">
        <v>-17.350000000000001</v>
      </c>
      <c r="R1138">
        <v>1.0900000000000001</v>
      </c>
      <c r="S1138">
        <v>17.559999999999999</v>
      </c>
      <c r="T1138">
        <v>2.4700000000000002</v>
      </c>
      <c r="U1138">
        <v>1.84</v>
      </c>
      <c r="V1138">
        <v>2.46</v>
      </c>
      <c r="W1138">
        <v>4.67</v>
      </c>
      <c r="X1138">
        <v>6.4</v>
      </c>
      <c r="Y1138">
        <v>8.3800000000000008</v>
      </c>
      <c r="Z1138">
        <v>0.62</v>
      </c>
      <c r="AA1138">
        <v>8.43</v>
      </c>
      <c r="AB1138">
        <v>1.73</v>
      </c>
      <c r="AC1138">
        <v>3.72</v>
      </c>
      <c r="AD1138">
        <v>0.17</v>
      </c>
      <c r="AE1138">
        <v>2.1</v>
      </c>
      <c r="AF1138">
        <v>2.7949999999999999</v>
      </c>
      <c r="AG1138" t="str">
        <f>HYPERLINK("https://finance.naver.com/item/fchart.naver?code=004140", "동방 차트보기")</f>
        <v>동방 차트보기</v>
      </c>
    </row>
    <row r="1139" spans="1:33" x14ac:dyDescent="0.3">
      <c r="A1139" t="s">
        <v>4583</v>
      </c>
      <c r="B1139" t="s">
        <v>55</v>
      </c>
      <c r="C1139" t="s">
        <v>4584</v>
      </c>
      <c r="D1139">
        <v>402078.38</v>
      </c>
      <c r="E1139" t="s">
        <v>4585</v>
      </c>
      <c r="F1139">
        <v>0</v>
      </c>
      <c r="G1139">
        <v>7.4200000762939453</v>
      </c>
      <c r="H1139">
        <v>0</v>
      </c>
      <c r="I1139">
        <v>0</v>
      </c>
      <c r="J1139" t="s">
        <v>4586</v>
      </c>
      <c r="K1139">
        <v>11120</v>
      </c>
      <c r="L1139">
        <v>5960</v>
      </c>
      <c r="M1139">
        <v>-46.4</v>
      </c>
      <c r="N1139">
        <v>-1.32</v>
      </c>
      <c r="O1139">
        <v>-17.89</v>
      </c>
      <c r="P1139">
        <v>-9.1300000000000008</v>
      </c>
      <c r="Q1139">
        <v>17.2</v>
      </c>
      <c r="R1139">
        <v>-17.52</v>
      </c>
      <c r="S1139">
        <v>0.93</v>
      </c>
      <c r="T1139">
        <v>1.96</v>
      </c>
      <c r="U1139">
        <v>2.88</v>
      </c>
      <c r="V1139">
        <v>4.4400000000000004</v>
      </c>
      <c r="W1139">
        <v>8.25</v>
      </c>
      <c r="X1139">
        <v>3.14</v>
      </c>
      <c r="Y1139">
        <v>5.48</v>
      </c>
      <c r="Z1139">
        <v>0.67</v>
      </c>
      <c r="AA1139">
        <v>6.21</v>
      </c>
      <c r="AB1139">
        <v>2.06</v>
      </c>
      <c r="AC1139">
        <v>2.08</v>
      </c>
      <c r="AD1139">
        <v>5.58</v>
      </c>
      <c r="AE1139">
        <v>0.17</v>
      </c>
      <c r="AF1139">
        <v>2.7949999999999999</v>
      </c>
      <c r="AG1139" t="str">
        <f>HYPERLINK("https://finance.naver.com/item/fchart.naver?code=452200", "민테크 차트보기")</f>
        <v>민테크 차트보기</v>
      </c>
    </row>
    <row r="1140" spans="1:33" x14ac:dyDescent="0.3">
      <c r="A1140" t="s">
        <v>4587</v>
      </c>
      <c r="B1140" t="s">
        <v>55</v>
      </c>
      <c r="C1140" t="s">
        <v>4588</v>
      </c>
      <c r="D1140">
        <v>45956.38</v>
      </c>
      <c r="E1140" t="s">
        <v>4589</v>
      </c>
      <c r="F1140">
        <v>0</v>
      </c>
      <c r="G1140">
        <v>2.6500000953674321</v>
      </c>
      <c r="H1140">
        <v>0</v>
      </c>
      <c r="I1140">
        <v>0</v>
      </c>
      <c r="J1140" t="s">
        <v>4590</v>
      </c>
      <c r="K1140">
        <v>17760</v>
      </c>
      <c r="L1140">
        <v>10290</v>
      </c>
      <c r="M1140">
        <v>-42.06</v>
      </c>
      <c r="N1140">
        <v>1.38</v>
      </c>
      <c r="O1140">
        <v>-11.33</v>
      </c>
      <c r="P1140">
        <v>-5.38</v>
      </c>
      <c r="Q1140">
        <v>-6.43</v>
      </c>
      <c r="R1140">
        <v>-11.83</v>
      </c>
      <c r="S1140">
        <v>-14.96</v>
      </c>
      <c r="T1140">
        <v>2.74</v>
      </c>
      <c r="U1140">
        <v>2.62</v>
      </c>
      <c r="V1140">
        <v>3.24</v>
      </c>
      <c r="W1140">
        <v>4.51</v>
      </c>
      <c r="X1140">
        <v>2.81</v>
      </c>
      <c r="Y1140">
        <v>3.22</v>
      </c>
      <c r="Z1140">
        <v>0.5</v>
      </c>
      <c r="AA1140">
        <v>4.32</v>
      </c>
      <c r="AB1140">
        <v>1.66</v>
      </c>
      <c r="AC1140">
        <v>1.43</v>
      </c>
      <c r="AD1140">
        <v>4.21</v>
      </c>
      <c r="AE1140">
        <v>4.6500000000000004</v>
      </c>
      <c r="AF1140">
        <v>2.7949999999999999</v>
      </c>
      <c r="AG1140" t="str">
        <f>HYPERLINK("https://finance.naver.com/item/fchart.naver?code=140670", "알에스오토메이션 차트보기")</f>
        <v>알에스오토메이션 차트보기</v>
      </c>
    </row>
    <row r="1141" spans="1:33" x14ac:dyDescent="0.3">
      <c r="A1141" t="s">
        <v>4591</v>
      </c>
      <c r="B1141" t="s">
        <v>55</v>
      </c>
      <c r="C1141" t="s">
        <v>4592</v>
      </c>
      <c r="D1141">
        <v>11876.86</v>
      </c>
      <c r="E1141" t="s">
        <v>4593</v>
      </c>
      <c r="F1141">
        <v>0</v>
      </c>
      <c r="G1141">
        <v>0.62000000476837158</v>
      </c>
      <c r="H1141">
        <v>0</v>
      </c>
      <c r="I1141">
        <v>0</v>
      </c>
      <c r="J1141" t="s">
        <v>4594</v>
      </c>
      <c r="K1141">
        <v>4710</v>
      </c>
      <c r="L1141">
        <v>3250</v>
      </c>
      <c r="M1141">
        <v>-31</v>
      </c>
      <c r="N1141">
        <v>-1.22</v>
      </c>
      <c r="O1141">
        <v>-7.04</v>
      </c>
      <c r="P1141">
        <v>-8.17</v>
      </c>
      <c r="Q1141">
        <v>-5.43</v>
      </c>
      <c r="R1141">
        <v>-9.33</v>
      </c>
      <c r="S1141">
        <v>-8.18</v>
      </c>
      <c r="T1141">
        <v>2.25</v>
      </c>
      <c r="U1141">
        <v>2.68</v>
      </c>
      <c r="V1141">
        <v>1.92</v>
      </c>
      <c r="W1141">
        <v>3.67</v>
      </c>
      <c r="X1141">
        <v>2.44</v>
      </c>
      <c r="Y1141">
        <v>2.02</v>
      </c>
      <c r="Z1141">
        <v>0.54</v>
      </c>
      <c r="AA1141">
        <v>2.63</v>
      </c>
      <c r="AB1141">
        <v>4.26</v>
      </c>
      <c r="AC1141">
        <v>1.48</v>
      </c>
      <c r="AD1141">
        <v>3.82</v>
      </c>
      <c r="AE1141">
        <v>4.05</v>
      </c>
      <c r="AF1141">
        <v>2.7966666666666669</v>
      </c>
      <c r="AG1141" t="str">
        <f>HYPERLINK("https://finance.naver.com/item/fchart.naver?code=365900", "브이씨 차트보기")</f>
        <v>브이씨 차트보기</v>
      </c>
    </row>
    <row r="1142" spans="1:33" x14ac:dyDescent="0.3">
      <c r="A1142" t="s">
        <v>4595</v>
      </c>
      <c r="B1142" t="s">
        <v>55</v>
      </c>
      <c r="C1142" t="s">
        <v>4596</v>
      </c>
      <c r="D1142">
        <v>509243.29</v>
      </c>
      <c r="E1142" t="s">
        <v>4597</v>
      </c>
      <c r="F1142">
        <v>5.74</v>
      </c>
      <c r="G1142">
        <v>1.0900000333786011</v>
      </c>
      <c r="H1142">
        <v>1695</v>
      </c>
      <c r="I1142">
        <v>3.0799999237060551</v>
      </c>
      <c r="J1142" t="s">
        <v>4598</v>
      </c>
      <c r="K1142">
        <v>15810</v>
      </c>
      <c r="L1142">
        <v>9730</v>
      </c>
      <c r="M1142">
        <v>-38.46</v>
      </c>
      <c r="N1142">
        <v>-5.35</v>
      </c>
      <c r="O1142">
        <v>-6.59</v>
      </c>
      <c r="P1142">
        <v>5.12</v>
      </c>
      <c r="Q1142">
        <v>-11</v>
      </c>
      <c r="R1142">
        <v>-4.22</v>
      </c>
      <c r="S1142">
        <v>-18.77</v>
      </c>
      <c r="T1142">
        <v>7.04</v>
      </c>
      <c r="U1142">
        <v>1.69</v>
      </c>
      <c r="V1142">
        <v>6.52</v>
      </c>
      <c r="W1142">
        <v>4.7300000000000004</v>
      </c>
      <c r="X1142">
        <v>4.47</v>
      </c>
      <c r="Y1142">
        <v>2.33</v>
      </c>
      <c r="Z1142">
        <v>0.76</v>
      </c>
      <c r="AA1142">
        <v>3.9</v>
      </c>
      <c r="AB1142">
        <v>0.79</v>
      </c>
      <c r="AC1142">
        <v>2.33</v>
      </c>
      <c r="AD1142">
        <v>0.94</v>
      </c>
      <c r="AE1142">
        <v>8.06</v>
      </c>
      <c r="AF1142">
        <v>2.7966666666666669</v>
      </c>
      <c r="AG1142" t="str">
        <f>HYPERLINK("https://finance.naver.com/item/fchart.naver?code=282720", "금양그린파워 차트보기")</f>
        <v>금양그린파워 차트보기</v>
      </c>
    </row>
    <row r="1143" spans="1:33" x14ac:dyDescent="0.3">
      <c r="A1143" t="s">
        <v>4599</v>
      </c>
      <c r="B1143" t="s">
        <v>55</v>
      </c>
      <c r="C1143" t="s">
        <v>4600</v>
      </c>
      <c r="D1143">
        <v>19075.95</v>
      </c>
      <c r="E1143" t="s">
        <v>4601</v>
      </c>
      <c r="F1143">
        <v>5.01</v>
      </c>
      <c r="G1143">
        <v>0.47999998927116388</v>
      </c>
      <c r="H1143">
        <v>509</v>
      </c>
      <c r="I1143">
        <v>2.75</v>
      </c>
      <c r="J1143" t="s">
        <v>4602</v>
      </c>
      <c r="K1143">
        <v>2690</v>
      </c>
      <c r="L1143">
        <v>2550</v>
      </c>
      <c r="M1143">
        <v>-5.2</v>
      </c>
      <c r="N1143">
        <v>1.59</v>
      </c>
      <c r="O1143">
        <v>2.46</v>
      </c>
      <c r="P1143">
        <v>0.81</v>
      </c>
      <c r="Q1143">
        <v>1.02</v>
      </c>
      <c r="R1143">
        <v>-7.36</v>
      </c>
      <c r="S1143">
        <v>-4.12</v>
      </c>
      <c r="T1143">
        <v>1.67</v>
      </c>
      <c r="U1143">
        <v>0.96</v>
      </c>
      <c r="V1143">
        <v>1.28</v>
      </c>
      <c r="W1143">
        <v>2.76</v>
      </c>
      <c r="X1143">
        <v>1.06</v>
      </c>
      <c r="Y1143">
        <v>0.77</v>
      </c>
      <c r="Z1143">
        <v>0.95</v>
      </c>
      <c r="AA1143">
        <v>2.56</v>
      </c>
      <c r="AB1143">
        <v>0.63</v>
      </c>
      <c r="AC1143">
        <v>0.37</v>
      </c>
      <c r="AD1143">
        <v>6.94</v>
      </c>
      <c r="AE1143">
        <v>5.35</v>
      </c>
      <c r="AF1143">
        <v>2.7999999999999989</v>
      </c>
      <c r="AG1143" t="str">
        <f>HYPERLINK("https://finance.naver.com/item/fchart.naver?code=021650", "한국큐빅 차트보기")</f>
        <v>한국큐빅 차트보기</v>
      </c>
    </row>
    <row r="1144" spans="1:33" x14ac:dyDescent="0.3">
      <c r="A1144" t="s">
        <v>4603</v>
      </c>
      <c r="B1144" t="s">
        <v>34</v>
      </c>
      <c r="C1144" t="s">
        <v>4604</v>
      </c>
      <c r="D1144">
        <v>347509.29</v>
      </c>
      <c r="E1144" t="s">
        <v>4605</v>
      </c>
      <c r="F1144">
        <v>209.5</v>
      </c>
      <c r="G1144">
        <v>1.110000014305115</v>
      </c>
      <c r="H1144">
        <v>20</v>
      </c>
      <c r="I1144">
        <v>1.190000057220459</v>
      </c>
      <c r="J1144" t="s">
        <v>4606</v>
      </c>
      <c r="K1144">
        <v>7550</v>
      </c>
      <c r="L1144">
        <v>4190</v>
      </c>
      <c r="M1144">
        <v>-44.5</v>
      </c>
      <c r="N1144">
        <v>-3.01</v>
      </c>
      <c r="O1144">
        <v>-9.77</v>
      </c>
      <c r="P1144">
        <v>12.3</v>
      </c>
      <c r="Q1144">
        <v>-6.9</v>
      </c>
      <c r="R1144">
        <v>-11.85</v>
      </c>
      <c r="S1144">
        <v>-7.82</v>
      </c>
      <c r="T1144">
        <v>3.32</v>
      </c>
      <c r="U1144">
        <v>2.36</v>
      </c>
      <c r="V1144">
        <v>3.32</v>
      </c>
      <c r="W1144">
        <v>4.0199999999999996</v>
      </c>
      <c r="X1144">
        <v>3.4</v>
      </c>
      <c r="Y1144">
        <v>2.75</v>
      </c>
      <c r="Z1144">
        <v>0.91</v>
      </c>
      <c r="AA1144">
        <v>4.1399999999999997</v>
      </c>
      <c r="AB1144">
        <v>3.7</v>
      </c>
      <c r="AC1144">
        <v>1.72</v>
      </c>
      <c r="AD1144">
        <v>3.49</v>
      </c>
      <c r="AE1144">
        <v>2.84</v>
      </c>
      <c r="AF1144">
        <v>2.8</v>
      </c>
      <c r="AG1144" t="str">
        <f>HYPERLINK("https://finance.naver.com/item/fchart.naver?code=025820", "이구산업 차트보기")</f>
        <v>이구산업 차트보기</v>
      </c>
    </row>
    <row r="1145" spans="1:33" x14ac:dyDescent="0.3">
      <c r="A1145" t="s">
        <v>4607</v>
      </c>
      <c r="B1145" t="s">
        <v>55</v>
      </c>
      <c r="C1145" t="s">
        <v>4608</v>
      </c>
      <c r="D1145">
        <v>404980.76</v>
      </c>
      <c r="E1145" t="s">
        <v>4609</v>
      </c>
      <c r="F1145">
        <v>0</v>
      </c>
      <c r="G1145">
        <v>2.4600000381469731</v>
      </c>
      <c r="H1145">
        <v>0</v>
      </c>
      <c r="I1145">
        <v>0</v>
      </c>
      <c r="J1145" t="s">
        <v>4610</v>
      </c>
      <c r="K1145">
        <v>11380</v>
      </c>
      <c r="L1145">
        <v>11250</v>
      </c>
      <c r="M1145">
        <v>-1.1399999999999999</v>
      </c>
      <c r="N1145">
        <v>32.35</v>
      </c>
      <c r="O1145">
        <v>-16.170000000000002</v>
      </c>
      <c r="P1145">
        <v>-3.47</v>
      </c>
      <c r="Q1145">
        <v>1</v>
      </c>
      <c r="R1145">
        <v>1.06</v>
      </c>
      <c r="S1145">
        <v>-6.71</v>
      </c>
      <c r="T1145">
        <v>6.35</v>
      </c>
      <c r="U1145">
        <v>4.1900000000000004</v>
      </c>
      <c r="V1145">
        <v>2.2599999999999998</v>
      </c>
      <c r="W1145">
        <v>2.8</v>
      </c>
      <c r="X1145">
        <v>2.0699999999999998</v>
      </c>
      <c r="Y1145">
        <v>1.23</v>
      </c>
      <c r="Z1145">
        <v>5.09</v>
      </c>
      <c r="AA1145">
        <v>3.86</v>
      </c>
      <c r="AB1145">
        <v>1.54</v>
      </c>
      <c r="AC1145">
        <v>0.36</v>
      </c>
      <c r="AD1145">
        <v>0.51</v>
      </c>
      <c r="AE1145">
        <v>5.46</v>
      </c>
      <c r="AF1145">
        <v>2.8033333333333328</v>
      </c>
      <c r="AG1145" t="str">
        <f>HYPERLINK("https://finance.naver.com/item/fchart.naver?code=274090", "켄코아에어로스페이스 차트보기")</f>
        <v>켄코아에어로스페이스 차트보기</v>
      </c>
    </row>
    <row r="1146" spans="1:33" x14ac:dyDescent="0.3">
      <c r="A1146" t="s">
        <v>4611</v>
      </c>
      <c r="B1146" t="s">
        <v>34</v>
      </c>
      <c r="C1146" t="s">
        <v>4612</v>
      </c>
      <c r="D1146">
        <v>28819.19</v>
      </c>
      <c r="E1146" t="s">
        <v>4613</v>
      </c>
      <c r="F1146">
        <v>17.43</v>
      </c>
      <c r="G1146">
        <v>0.43000000715255737</v>
      </c>
      <c r="H1146">
        <v>704</v>
      </c>
      <c r="I1146">
        <v>2.440000057220459</v>
      </c>
      <c r="J1146" t="s">
        <v>4614</v>
      </c>
      <c r="K1146">
        <v>17890</v>
      </c>
      <c r="L1146">
        <v>12270</v>
      </c>
      <c r="M1146">
        <v>-31.41</v>
      </c>
      <c r="N1146">
        <v>-1.84</v>
      </c>
      <c r="O1146">
        <v>-6.79</v>
      </c>
      <c r="P1146">
        <v>-1.1200000000000001</v>
      </c>
      <c r="Q1146">
        <v>-10.73</v>
      </c>
      <c r="R1146">
        <v>-4.63</v>
      </c>
      <c r="S1146">
        <v>-10.17</v>
      </c>
      <c r="T1146">
        <v>2.23</v>
      </c>
      <c r="U1146">
        <v>1.1399999999999999</v>
      </c>
      <c r="V1146">
        <v>1.74</v>
      </c>
      <c r="W1146">
        <v>4.3</v>
      </c>
      <c r="X1146">
        <v>2</v>
      </c>
      <c r="Y1146">
        <v>2.2200000000000002</v>
      </c>
      <c r="Z1146">
        <v>0.83</v>
      </c>
      <c r="AA1146">
        <v>5.96</v>
      </c>
      <c r="AB1146">
        <v>0.64</v>
      </c>
      <c r="AC1146">
        <v>2.5</v>
      </c>
      <c r="AD1146">
        <v>2.31</v>
      </c>
      <c r="AE1146">
        <v>4.58</v>
      </c>
      <c r="AF1146">
        <v>2.8033333333333328</v>
      </c>
      <c r="AG1146" t="str">
        <f>HYPERLINK("https://finance.naver.com/item/fchart.naver?code=081000", "일진다이아 차트보기")</f>
        <v>일진다이아 차트보기</v>
      </c>
    </row>
    <row r="1147" spans="1:33" x14ac:dyDescent="0.3">
      <c r="A1147" t="s">
        <v>4615</v>
      </c>
      <c r="B1147" t="s">
        <v>55</v>
      </c>
      <c r="C1147" t="s">
        <v>4616</v>
      </c>
      <c r="D1147">
        <v>138768.57</v>
      </c>
      <c r="E1147" t="s">
        <v>4617</v>
      </c>
      <c r="F1147">
        <v>0</v>
      </c>
      <c r="G1147">
        <v>0.69999998807907104</v>
      </c>
      <c r="H1147">
        <v>0</v>
      </c>
      <c r="I1147">
        <v>0</v>
      </c>
      <c r="J1147" t="s">
        <v>4618</v>
      </c>
      <c r="K1147">
        <v>14000</v>
      </c>
      <c r="L1147">
        <v>14110</v>
      </c>
      <c r="M1147">
        <v>0.79</v>
      </c>
      <c r="N1147">
        <v>-5.24</v>
      </c>
      <c r="O1147">
        <v>-13.58</v>
      </c>
      <c r="P1147">
        <v>58.94</v>
      </c>
      <c r="Q1147">
        <v>-11.98</v>
      </c>
      <c r="R1147">
        <v>-1.22</v>
      </c>
      <c r="S1147">
        <v>-1.56</v>
      </c>
      <c r="T1147">
        <v>2.2000000000000002</v>
      </c>
      <c r="U1147">
        <v>4.7</v>
      </c>
      <c r="V1147">
        <v>10.86</v>
      </c>
      <c r="W1147">
        <v>2.93</v>
      </c>
      <c r="X1147">
        <v>0.75</v>
      </c>
      <c r="Y1147">
        <v>3.85</v>
      </c>
      <c r="Z1147">
        <v>2.38</v>
      </c>
      <c r="AA1147">
        <v>2.89</v>
      </c>
      <c r="AB1147">
        <v>5.43</v>
      </c>
      <c r="AC1147">
        <v>4.09</v>
      </c>
      <c r="AD1147">
        <v>1.63</v>
      </c>
      <c r="AE1147">
        <v>0.41</v>
      </c>
      <c r="AF1147">
        <v>2.8050000000000002</v>
      </c>
      <c r="AG1147" t="str">
        <f>HYPERLINK("https://finance.naver.com/item/fchart.naver?code=239610", "에이치엘사이언스 차트보기")</f>
        <v>에이치엘사이언스 차트보기</v>
      </c>
    </row>
    <row r="1148" spans="1:33" x14ac:dyDescent="0.3">
      <c r="A1148" t="s">
        <v>4619</v>
      </c>
      <c r="B1148" t="s">
        <v>55</v>
      </c>
      <c r="C1148" t="s">
        <v>4620</v>
      </c>
      <c r="D1148">
        <v>364810.14</v>
      </c>
      <c r="E1148" t="s">
        <v>4621</v>
      </c>
      <c r="F1148">
        <v>17.690000000000001</v>
      </c>
      <c r="G1148">
        <v>1.620000004768372</v>
      </c>
      <c r="H1148">
        <v>158</v>
      </c>
      <c r="I1148">
        <v>0</v>
      </c>
      <c r="J1148" t="s">
        <v>4622</v>
      </c>
      <c r="K1148">
        <v>3115</v>
      </c>
      <c r="L1148">
        <v>2795</v>
      </c>
      <c r="M1148">
        <v>-10.27</v>
      </c>
      <c r="N1148">
        <v>6.68</v>
      </c>
      <c r="O1148">
        <v>5.12</v>
      </c>
      <c r="P1148">
        <v>-3.86</v>
      </c>
      <c r="Q1148">
        <v>-13.28</v>
      </c>
      <c r="R1148">
        <v>1.46</v>
      </c>
      <c r="S1148">
        <v>-3.39</v>
      </c>
      <c r="T1148">
        <v>3.82</v>
      </c>
      <c r="U1148">
        <v>1.7</v>
      </c>
      <c r="V1148">
        <v>2.0499999999999998</v>
      </c>
      <c r="W1148">
        <v>3.1</v>
      </c>
      <c r="X1148">
        <v>1.89</v>
      </c>
      <c r="Y1148">
        <v>0.66</v>
      </c>
      <c r="Z1148">
        <v>1.75</v>
      </c>
      <c r="AA1148">
        <v>3.01</v>
      </c>
      <c r="AB1148">
        <v>1.88</v>
      </c>
      <c r="AC1148">
        <v>4.28</v>
      </c>
      <c r="AD1148">
        <v>0.77</v>
      </c>
      <c r="AE1148">
        <v>5.14</v>
      </c>
      <c r="AF1148">
        <v>2.8050000000000002</v>
      </c>
      <c r="AG1148" t="str">
        <f>HYPERLINK("https://finance.naver.com/item/fchart.naver?code=045390", "대아티아이 차트보기")</f>
        <v>대아티아이 차트보기</v>
      </c>
    </row>
    <row r="1149" spans="1:33" x14ac:dyDescent="0.3">
      <c r="A1149" t="s">
        <v>4623</v>
      </c>
      <c r="B1149" t="s">
        <v>34</v>
      </c>
      <c r="C1149" t="s">
        <v>4624</v>
      </c>
      <c r="D1149">
        <v>6709.33</v>
      </c>
      <c r="E1149" t="s">
        <v>4625</v>
      </c>
      <c r="F1149">
        <v>10.31</v>
      </c>
      <c r="G1149">
        <v>0.2800000011920929</v>
      </c>
      <c r="H1149">
        <v>2541</v>
      </c>
      <c r="I1149">
        <v>1.9099999666213989</v>
      </c>
      <c r="J1149" t="s">
        <v>4626</v>
      </c>
      <c r="K1149">
        <v>26100</v>
      </c>
      <c r="L1149">
        <v>26200</v>
      </c>
      <c r="M1149">
        <v>0.38</v>
      </c>
      <c r="N1149">
        <v>3.56</v>
      </c>
      <c r="O1149">
        <v>-5.3</v>
      </c>
      <c r="P1149">
        <v>1.92</v>
      </c>
      <c r="Q1149">
        <v>-6.16</v>
      </c>
      <c r="R1149">
        <v>5.37</v>
      </c>
      <c r="S1149">
        <v>-0.56999999999999995</v>
      </c>
      <c r="T1149">
        <v>1.23</v>
      </c>
      <c r="U1149">
        <v>0.74</v>
      </c>
      <c r="V1149">
        <v>2.3199999999999998</v>
      </c>
      <c r="W1149">
        <v>2.62</v>
      </c>
      <c r="X1149">
        <v>1.66</v>
      </c>
      <c r="Y1149">
        <v>1.49</v>
      </c>
      <c r="Z1149">
        <v>2.89</v>
      </c>
      <c r="AA1149">
        <v>7.16</v>
      </c>
      <c r="AB1149">
        <v>0.83</v>
      </c>
      <c r="AC1149">
        <v>2.35</v>
      </c>
      <c r="AD1149">
        <v>3.23</v>
      </c>
      <c r="AE1149">
        <v>0.38</v>
      </c>
      <c r="AF1149">
        <v>2.8066666666666671</v>
      </c>
      <c r="AG1149" t="str">
        <f>HYPERLINK("https://finance.naver.com/item/fchart.naver?code=000860", "강남제비스코 차트보기")</f>
        <v>강남제비스코 차트보기</v>
      </c>
    </row>
    <row r="1150" spans="1:33" x14ac:dyDescent="0.3">
      <c r="A1150" t="s">
        <v>4627</v>
      </c>
      <c r="B1150" t="s">
        <v>34</v>
      </c>
      <c r="C1150" t="s">
        <v>4628</v>
      </c>
      <c r="D1150">
        <v>92862.9</v>
      </c>
      <c r="E1150" t="s">
        <v>4629</v>
      </c>
      <c r="F1150">
        <v>0</v>
      </c>
      <c r="G1150">
        <v>0.60000002384185791</v>
      </c>
      <c r="H1150">
        <v>0</v>
      </c>
      <c r="I1150">
        <v>0</v>
      </c>
      <c r="J1150" t="s">
        <v>4630</v>
      </c>
      <c r="K1150">
        <v>25950</v>
      </c>
      <c r="L1150">
        <v>20000</v>
      </c>
      <c r="M1150">
        <v>-22.93</v>
      </c>
      <c r="N1150">
        <v>-12.66</v>
      </c>
      <c r="O1150">
        <v>-5.33</v>
      </c>
      <c r="P1150">
        <v>-3.07</v>
      </c>
      <c r="Q1150">
        <v>6.09</v>
      </c>
      <c r="R1150">
        <v>-6.99</v>
      </c>
      <c r="S1150">
        <v>-20.86</v>
      </c>
      <c r="T1150">
        <v>4.29</v>
      </c>
      <c r="U1150">
        <v>2.38</v>
      </c>
      <c r="V1150">
        <v>4.38</v>
      </c>
      <c r="W1150">
        <v>8.57</v>
      </c>
      <c r="X1150">
        <v>2.42</v>
      </c>
      <c r="Y1150">
        <v>2.84</v>
      </c>
      <c r="Z1150">
        <v>2.95</v>
      </c>
      <c r="AA1150">
        <v>2.2400000000000002</v>
      </c>
      <c r="AB1150">
        <v>0.7</v>
      </c>
      <c r="AC1150">
        <v>0.71</v>
      </c>
      <c r="AD1150">
        <v>2.89</v>
      </c>
      <c r="AE1150">
        <v>7.35</v>
      </c>
      <c r="AF1150">
        <v>2.8066666666666671</v>
      </c>
      <c r="AG1150" t="str">
        <f>HYPERLINK("https://finance.naver.com/item/fchart.naver?code=322000", "HD현대에너지솔루션 차트보기")</f>
        <v>HD현대에너지솔루션 차트보기</v>
      </c>
    </row>
    <row r="1151" spans="1:33" x14ac:dyDescent="0.3">
      <c r="A1151" t="s">
        <v>4631</v>
      </c>
      <c r="B1151" t="s">
        <v>55</v>
      </c>
      <c r="C1151" t="s">
        <v>4632</v>
      </c>
      <c r="D1151">
        <v>40937.19</v>
      </c>
      <c r="E1151" t="s">
        <v>4633</v>
      </c>
      <c r="F1151">
        <v>8.34</v>
      </c>
      <c r="G1151">
        <v>1.4600000381469731</v>
      </c>
      <c r="H1151">
        <v>459</v>
      </c>
      <c r="I1151">
        <v>7.8299999237060547</v>
      </c>
      <c r="J1151" t="s">
        <v>4634</v>
      </c>
      <c r="K1151">
        <v>5280</v>
      </c>
      <c r="L1151">
        <v>3830</v>
      </c>
      <c r="M1151">
        <v>-27.46</v>
      </c>
      <c r="N1151">
        <v>-1.42</v>
      </c>
      <c r="O1151">
        <v>-14.02</v>
      </c>
      <c r="P1151">
        <v>-1.82</v>
      </c>
      <c r="Q1151">
        <v>-7.48</v>
      </c>
      <c r="R1151">
        <v>-0.39</v>
      </c>
      <c r="S1151">
        <v>0.79</v>
      </c>
      <c r="T1151">
        <v>0.87</v>
      </c>
      <c r="U1151">
        <v>1.75</v>
      </c>
      <c r="V1151">
        <v>1.23</v>
      </c>
      <c r="W1151">
        <v>1.69</v>
      </c>
      <c r="X1151">
        <v>0.72</v>
      </c>
      <c r="Y1151">
        <v>1.04</v>
      </c>
      <c r="Z1151">
        <v>1.63</v>
      </c>
      <c r="AA1151">
        <v>8.01</v>
      </c>
      <c r="AB1151">
        <v>1.48</v>
      </c>
      <c r="AC1151">
        <v>4.43</v>
      </c>
      <c r="AD1151">
        <v>0.54</v>
      </c>
      <c r="AE1151">
        <v>0.76</v>
      </c>
      <c r="AF1151">
        <v>2.808333333333334</v>
      </c>
      <c r="AG1151" t="str">
        <f>HYPERLINK("https://finance.naver.com/item/fchart.naver?code=225530", "보광산업 차트보기")</f>
        <v>보광산업 차트보기</v>
      </c>
    </row>
    <row r="1152" spans="1:33" x14ac:dyDescent="0.3">
      <c r="A1152" t="s">
        <v>4635</v>
      </c>
      <c r="B1152" t="s">
        <v>34</v>
      </c>
      <c r="C1152" t="s">
        <v>4636</v>
      </c>
      <c r="D1152">
        <v>23397.38</v>
      </c>
      <c r="E1152" t="s">
        <v>4637</v>
      </c>
      <c r="F1152">
        <v>0</v>
      </c>
      <c r="G1152">
        <v>1.0099999904632571</v>
      </c>
      <c r="H1152">
        <v>0</v>
      </c>
      <c r="I1152">
        <v>1.200000047683716</v>
      </c>
      <c r="J1152" t="s">
        <v>4638</v>
      </c>
      <c r="K1152">
        <v>13920</v>
      </c>
      <c r="L1152">
        <v>12490</v>
      </c>
      <c r="M1152">
        <v>-10.27</v>
      </c>
      <c r="N1152">
        <v>-0.24</v>
      </c>
      <c r="O1152">
        <v>-2.99</v>
      </c>
      <c r="P1152">
        <v>-4.88</v>
      </c>
      <c r="Q1152">
        <v>-0.77</v>
      </c>
      <c r="R1152">
        <v>7.31</v>
      </c>
      <c r="S1152">
        <v>-3.33</v>
      </c>
      <c r="T1152">
        <v>1</v>
      </c>
      <c r="U1152">
        <v>0.86</v>
      </c>
      <c r="V1152">
        <v>1.49</v>
      </c>
      <c r="W1152">
        <v>2.92</v>
      </c>
      <c r="X1152">
        <v>1.56</v>
      </c>
      <c r="Y1152">
        <v>0.68</v>
      </c>
      <c r="Z1152">
        <v>0.24</v>
      </c>
      <c r="AA1152">
        <v>3.48</v>
      </c>
      <c r="AB1152">
        <v>3.28</v>
      </c>
      <c r="AC1152">
        <v>0.26</v>
      </c>
      <c r="AD1152">
        <v>4.6900000000000004</v>
      </c>
      <c r="AE1152">
        <v>4.9000000000000004</v>
      </c>
      <c r="AF1152">
        <v>2.808333333333334</v>
      </c>
      <c r="AG1152" t="str">
        <f>HYPERLINK("https://finance.naver.com/item/fchart.naver?code=007570", "일양약품 차트보기")</f>
        <v>일양약품 차트보기</v>
      </c>
    </row>
    <row r="1153" spans="1:33" x14ac:dyDescent="0.3">
      <c r="A1153" t="s">
        <v>4639</v>
      </c>
      <c r="B1153" t="s">
        <v>55</v>
      </c>
      <c r="C1153" t="s">
        <v>4640</v>
      </c>
      <c r="D1153">
        <v>18132</v>
      </c>
      <c r="E1153" t="s">
        <v>4641</v>
      </c>
      <c r="F1153">
        <v>12.16</v>
      </c>
      <c r="G1153">
        <v>0.57999998331069946</v>
      </c>
      <c r="H1153">
        <v>77</v>
      </c>
      <c r="I1153">
        <v>0</v>
      </c>
      <c r="J1153" t="s">
        <v>4642</v>
      </c>
      <c r="K1153">
        <v>993</v>
      </c>
      <c r="L1153">
        <v>936</v>
      </c>
      <c r="M1153">
        <v>-5.74</v>
      </c>
      <c r="N1153">
        <v>-1.27</v>
      </c>
      <c r="O1153">
        <v>0.84</v>
      </c>
      <c r="P1153">
        <v>5.25</v>
      </c>
      <c r="Q1153">
        <v>2.62</v>
      </c>
      <c r="R1153">
        <v>-7.58</v>
      </c>
      <c r="S1153">
        <v>-4.13</v>
      </c>
      <c r="T1153">
        <v>0.96</v>
      </c>
      <c r="U1153">
        <v>0.86</v>
      </c>
      <c r="V1153">
        <v>1.49</v>
      </c>
      <c r="W1153">
        <v>5.26</v>
      </c>
      <c r="X1153">
        <v>0.96</v>
      </c>
      <c r="Y1153">
        <v>1.57</v>
      </c>
      <c r="Z1153">
        <v>1.32</v>
      </c>
      <c r="AA1153">
        <v>0.98</v>
      </c>
      <c r="AB1153">
        <v>3.52</v>
      </c>
      <c r="AC1153">
        <v>0.5</v>
      </c>
      <c r="AD1153">
        <v>7.9</v>
      </c>
      <c r="AE1153">
        <v>2.63</v>
      </c>
      <c r="AF1153">
        <v>2.808333333333334</v>
      </c>
      <c r="AG1153" t="str">
        <f>HYPERLINK("https://finance.naver.com/item/fchart.naver?code=033050", "제이엠아이 차트보기")</f>
        <v>제이엠아이 차트보기</v>
      </c>
    </row>
    <row r="1154" spans="1:33" x14ac:dyDescent="0.3">
      <c r="A1154" t="s">
        <v>4643</v>
      </c>
      <c r="B1154" t="s">
        <v>55</v>
      </c>
      <c r="C1154" t="s">
        <v>4644</v>
      </c>
      <c r="D1154">
        <v>30151.43</v>
      </c>
      <c r="E1154" t="s">
        <v>4645</v>
      </c>
      <c r="F1154">
        <v>1.59</v>
      </c>
      <c r="G1154">
        <v>0.41999998688697809</v>
      </c>
      <c r="H1154">
        <v>2444</v>
      </c>
      <c r="I1154">
        <v>2.5799999237060551</v>
      </c>
      <c r="J1154" t="s">
        <v>4646</v>
      </c>
      <c r="K1154">
        <v>5000</v>
      </c>
      <c r="L1154">
        <v>3880</v>
      </c>
      <c r="M1154">
        <v>-22.4</v>
      </c>
      <c r="N1154">
        <v>-4.55</v>
      </c>
      <c r="O1154">
        <v>-4.71</v>
      </c>
      <c r="P1154">
        <v>0.56000000000000005</v>
      </c>
      <c r="Q1154">
        <v>0.68</v>
      </c>
      <c r="R1154">
        <v>-17.190000000000001</v>
      </c>
      <c r="S1154">
        <v>6.98</v>
      </c>
      <c r="T1154">
        <v>2.0099999999999998</v>
      </c>
      <c r="U1154">
        <v>1.72</v>
      </c>
      <c r="V1154">
        <v>2.1800000000000002</v>
      </c>
      <c r="W1154">
        <v>3.29</v>
      </c>
      <c r="X1154">
        <v>1.84</v>
      </c>
      <c r="Y1154">
        <v>3.41</v>
      </c>
      <c r="Z1154">
        <v>2.2599999999999998</v>
      </c>
      <c r="AA1154">
        <v>2.74</v>
      </c>
      <c r="AB1154">
        <v>0.26</v>
      </c>
      <c r="AC1154">
        <v>0.21</v>
      </c>
      <c r="AD1154">
        <v>9.34</v>
      </c>
      <c r="AE1154">
        <v>2.0499999999999998</v>
      </c>
      <c r="AF1154">
        <v>2.81</v>
      </c>
      <c r="AG1154" t="str">
        <f>HYPERLINK("https://finance.naver.com/item/fchart.naver?code=019540", "일지테크 차트보기")</f>
        <v>일지테크 차트보기</v>
      </c>
    </row>
    <row r="1155" spans="1:33" x14ac:dyDescent="0.3">
      <c r="A1155" t="s">
        <v>4647</v>
      </c>
      <c r="B1155" t="s">
        <v>55</v>
      </c>
      <c r="C1155" t="s">
        <v>4648</v>
      </c>
      <c r="D1155">
        <v>1758907.86</v>
      </c>
      <c r="E1155" t="s">
        <v>4649</v>
      </c>
      <c r="F1155">
        <v>18.73</v>
      </c>
      <c r="G1155">
        <v>0.57999998331069946</v>
      </c>
      <c r="H1155">
        <v>166</v>
      </c>
      <c r="I1155">
        <v>0.95999997854232788</v>
      </c>
      <c r="J1155" t="s">
        <v>4650</v>
      </c>
      <c r="K1155">
        <v>3655</v>
      </c>
      <c r="L1155">
        <v>3110</v>
      </c>
      <c r="M1155">
        <v>-14.91</v>
      </c>
      <c r="N1155">
        <v>-10.25</v>
      </c>
      <c r="O1155">
        <v>19.73</v>
      </c>
      <c r="P1155">
        <v>-1.83</v>
      </c>
      <c r="Q1155">
        <v>-3.83</v>
      </c>
      <c r="R1155">
        <v>-9.1</v>
      </c>
      <c r="S1155">
        <v>-2.3199999999999998</v>
      </c>
      <c r="T1155">
        <v>3.34</v>
      </c>
      <c r="U1155">
        <v>4.8099999999999996</v>
      </c>
      <c r="V1155">
        <v>1.91</v>
      </c>
      <c r="W1155">
        <v>3.65</v>
      </c>
      <c r="X1155">
        <v>1.51</v>
      </c>
      <c r="Y1155">
        <v>1.41</v>
      </c>
      <c r="Z1155">
        <v>3.07</v>
      </c>
      <c r="AA1155">
        <v>4.0999999999999996</v>
      </c>
      <c r="AB1155">
        <v>0.96</v>
      </c>
      <c r="AC1155">
        <v>1.05</v>
      </c>
      <c r="AD1155">
        <v>6.03</v>
      </c>
      <c r="AE1155">
        <v>1.65</v>
      </c>
      <c r="AF1155">
        <v>2.81</v>
      </c>
      <c r="AG1155" t="str">
        <f>HYPERLINK("https://finance.naver.com/item/fchart.naver?code=140070", "서플러스글로벌 차트보기")</f>
        <v>서플러스글로벌 차트보기</v>
      </c>
    </row>
    <row r="1156" spans="1:33" x14ac:dyDescent="0.3">
      <c r="A1156" t="s">
        <v>4651</v>
      </c>
      <c r="B1156" t="s">
        <v>55</v>
      </c>
      <c r="C1156" t="s">
        <v>4652</v>
      </c>
      <c r="D1156">
        <v>92171.29</v>
      </c>
      <c r="E1156" t="s">
        <v>4653</v>
      </c>
      <c r="F1156">
        <v>13.49</v>
      </c>
      <c r="G1156">
        <v>0.60000002384185791</v>
      </c>
      <c r="H1156">
        <v>189</v>
      </c>
      <c r="I1156">
        <v>1.9600000381469731</v>
      </c>
      <c r="J1156" t="s">
        <v>4654</v>
      </c>
      <c r="K1156">
        <v>3635</v>
      </c>
      <c r="L1156">
        <v>2550</v>
      </c>
      <c r="M1156">
        <v>-29.85</v>
      </c>
      <c r="N1156">
        <v>-3.95</v>
      </c>
      <c r="O1156">
        <v>4.07</v>
      </c>
      <c r="P1156">
        <v>-2.06</v>
      </c>
      <c r="Q1156">
        <v>-12.99</v>
      </c>
      <c r="R1156">
        <v>-1.95</v>
      </c>
      <c r="S1156">
        <v>-11.31</v>
      </c>
      <c r="T1156">
        <v>1.49</v>
      </c>
      <c r="U1156">
        <v>1.19</v>
      </c>
      <c r="V1156">
        <v>1.66</v>
      </c>
      <c r="W1156">
        <v>4.33</v>
      </c>
      <c r="X1156">
        <v>3.24</v>
      </c>
      <c r="Y1156">
        <v>1.9</v>
      </c>
      <c r="Z1156">
        <v>2.65</v>
      </c>
      <c r="AA1156">
        <v>3.42</v>
      </c>
      <c r="AB1156">
        <v>1.24</v>
      </c>
      <c r="AC1156">
        <v>3</v>
      </c>
      <c r="AD1156">
        <v>0.6</v>
      </c>
      <c r="AE1156">
        <v>5.95</v>
      </c>
      <c r="AF1156">
        <v>2.81</v>
      </c>
      <c r="AG1156" t="str">
        <f>HYPERLINK("https://finance.naver.com/item/fchart.naver?code=123570", "이엠넷 차트보기")</f>
        <v>이엠넷 차트보기</v>
      </c>
    </row>
    <row r="1157" spans="1:33" x14ac:dyDescent="0.3">
      <c r="A1157" t="s">
        <v>4655</v>
      </c>
      <c r="B1157" t="s">
        <v>34</v>
      </c>
      <c r="C1157" t="s">
        <v>4656</v>
      </c>
      <c r="D1157">
        <v>125194.19</v>
      </c>
      <c r="E1157" t="s">
        <v>4657</v>
      </c>
      <c r="F1157">
        <v>0</v>
      </c>
      <c r="G1157">
        <v>2.3199999332427979</v>
      </c>
      <c r="H1157">
        <v>0</v>
      </c>
      <c r="I1157">
        <v>0.87000000476837158</v>
      </c>
      <c r="J1157" t="s">
        <v>4658</v>
      </c>
      <c r="K1157">
        <v>32300</v>
      </c>
      <c r="L1157">
        <v>28650</v>
      </c>
      <c r="M1157">
        <v>-11.3</v>
      </c>
      <c r="N1157">
        <v>-2.88</v>
      </c>
      <c r="O1157">
        <v>24.51</v>
      </c>
      <c r="P1157">
        <v>-1.94</v>
      </c>
      <c r="Q1157">
        <v>-7.36</v>
      </c>
      <c r="R1157">
        <v>-30.64</v>
      </c>
      <c r="S1157">
        <v>-4.75</v>
      </c>
      <c r="T1157">
        <v>4.37</v>
      </c>
      <c r="U1157">
        <v>4.2300000000000004</v>
      </c>
      <c r="V1157">
        <v>2.74</v>
      </c>
      <c r="W1157">
        <v>3.88</v>
      </c>
      <c r="X1157">
        <v>4.7699999999999996</v>
      </c>
      <c r="Y1157">
        <v>3.45</v>
      </c>
      <c r="Z1157">
        <v>0.66</v>
      </c>
      <c r="AA1157">
        <v>5.79</v>
      </c>
      <c r="AB1157">
        <v>0.71</v>
      </c>
      <c r="AC1157">
        <v>1.9</v>
      </c>
      <c r="AD1157">
        <v>6.42</v>
      </c>
      <c r="AE1157">
        <v>1.38</v>
      </c>
      <c r="AF1157">
        <v>2.81</v>
      </c>
      <c r="AG1157" t="str">
        <f>HYPERLINK("https://finance.naver.com/item/fchart.naver?code=008730", "율촌화학 차트보기")</f>
        <v>율촌화학 차트보기</v>
      </c>
    </row>
    <row r="1158" spans="1:33" x14ac:dyDescent="0.3">
      <c r="A1158" t="s">
        <v>4659</v>
      </c>
      <c r="B1158" t="s">
        <v>55</v>
      </c>
      <c r="C1158" t="s">
        <v>4660</v>
      </c>
      <c r="D1158">
        <v>61012.24</v>
      </c>
      <c r="E1158" t="s">
        <v>4661</v>
      </c>
      <c r="F1158">
        <v>0</v>
      </c>
      <c r="G1158">
        <v>2.6400001049041748</v>
      </c>
      <c r="H1158">
        <v>0</v>
      </c>
      <c r="I1158">
        <v>0</v>
      </c>
      <c r="J1158" t="s">
        <v>4662</v>
      </c>
      <c r="K1158">
        <v>56100</v>
      </c>
      <c r="L1158">
        <v>32550</v>
      </c>
      <c r="M1158">
        <v>-41.98</v>
      </c>
      <c r="N1158">
        <v>-10.210000000000001</v>
      </c>
      <c r="O1158">
        <v>-5.71</v>
      </c>
      <c r="P1158">
        <v>-0.76</v>
      </c>
      <c r="Q1158">
        <v>-20.2</v>
      </c>
      <c r="R1158">
        <v>-20.89</v>
      </c>
      <c r="S1158">
        <v>6.34</v>
      </c>
      <c r="T1158">
        <v>3.65</v>
      </c>
      <c r="U1158">
        <v>2.06</v>
      </c>
      <c r="V1158">
        <v>1.77</v>
      </c>
      <c r="W1158">
        <v>3.73</v>
      </c>
      <c r="X1158">
        <v>4.3600000000000003</v>
      </c>
      <c r="Y1158">
        <v>9.65</v>
      </c>
      <c r="Z1158">
        <v>2.8</v>
      </c>
      <c r="AA1158">
        <v>2.77</v>
      </c>
      <c r="AB1158">
        <v>0.43</v>
      </c>
      <c r="AC1158">
        <v>5.42</v>
      </c>
      <c r="AD1158">
        <v>4.79</v>
      </c>
      <c r="AE1158">
        <v>0.66</v>
      </c>
      <c r="AF1158">
        <v>2.811666666666667</v>
      </c>
      <c r="AG1158" t="str">
        <f>HYPERLINK("https://finance.naver.com/item/fchart.naver?code=194480", "데브시스터즈 차트보기")</f>
        <v>데브시스터즈 차트보기</v>
      </c>
    </row>
    <row r="1159" spans="1:33" x14ac:dyDescent="0.3">
      <c r="A1159" t="s">
        <v>4663</v>
      </c>
      <c r="B1159" t="s">
        <v>55</v>
      </c>
      <c r="C1159" t="s">
        <v>4664</v>
      </c>
      <c r="D1159">
        <v>21018.67</v>
      </c>
      <c r="E1159" t="s">
        <v>4665</v>
      </c>
      <c r="F1159">
        <v>26.09</v>
      </c>
      <c r="G1159">
        <v>1.3500000238418579</v>
      </c>
      <c r="H1159">
        <v>46</v>
      </c>
      <c r="I1159">
        <v>1.169999957084656</v>
      </c>
      <c r="J1159" t="s">
        <v>4666</v>
      </c>
      <c r="K1159">
        <v>1443</v>
      </c>
      <c r="L1159">
        <v>1200</v>
      </c>
      <c r="M1159">
        <v>-16.84</v>
      </c>
      <c r="N1159">
        <v>-4.99</v>
      </c>
      <c r="O1159">
        <v>-4.53</v>
      </c>
      <c r="P1159">
        <v>1.76</v>
      </c>
      <c r="Q1159">
        <v>-3.15</v>
      </c>
      <c r="R1159">
        <v>-1.48</v>
      </c>
      <c r="S1159">
        <v>-3.2</v>
      </c>
      <c r="T1159">
        <v>0.67</v>
      </c>
      <c r="U1159">
        <v>1.5</v>
      </c>
      <c r="V1159">
        <v>1.61</v>
      </c>
      <c r="W1159">
        <v>1.76</v>
      </c>
      <c r="X1159">
        <v>1.57</v>
      </c>
      <c r="Y1159">
        <v>1.24</v>
      </c>
      <c r="Z1159">
        <v>7.45</v>
      </c>
      <c r="AA1159">
        <v>3.02</v>
      </c>
      <c r="AB1159">
        <v>1.0900000000000001</v>
      </c>
      <c r="AC1159">
        <v>1.79</v>
      </c>
      <c r="AD1159">
        <v>0.94</v>
      </c>
      <c r="AE1159">
        <v>2.58</v>
      </c>
      <c r="AF1159">
        <v>2.811666666666667</v>
      </c>
      <c r="AG1159" t="str">
        <f>HYPERLINK("https://finance.naver.com/item/fchart.naver?code=333050", "모코엠시스 차트보기")</f>
        <v>모코엠시스 차트보기</v>
      </c>
    </row>
    <row r="1160" spans="1:33" x14ac:dyDescent="0.3">
      <c r="A1160" t="s">
        <v>4667</v>
      </c>
      <c r="B1160" t="s">
        <v>55</v>
      </c>
      <c r="C1160" t="s">
        <v>4668</v>
      </c>
      <c r="D1160">
        <v>21128.43</v>
      </c>
      <c r="E1160" t="s">
        <v>4669</v>
      </c>
      <c r="F1160">
        <v>8.0500000000000007</v>
      </c>
      <c r="G1160">
        <v>0.67000001668930054</v>
      </c>
      <c r="H1160">
        <v>511</v>
      </c>
      <c r="I1160">
        <v>1.220000028610229</v>
      </c>
      <c r="J1160" t="s">
        <v>4670</v>
      </c>
      <c r="K1160">
        <v>6190</v>
      </c>
      <c r="L1160">
        <v>4115</v>
      </c>
      <c r="M1160">
        <v>-33.520000000000003</v>
      </c>
      <c r="N1160">
        <v>-5.62</v>
      </c>
      <c r="O1160">
        <v>-6.03</v>
      </c>
      <c r="P1160">
        <v>6.18</v>
      </c>
      <c r="Q1160">
        <v>-11.68</v>
      </c>
      <c r="R1160">
        <v>-9.09</v>
      </c>
      <c r="S1160">
        <v>-3.5</v>
      </c>
      <c r="T1160">
        <v>1.81</v>
      </c>
      <c r="U1160">
        <v>2.21</v>
      </c>
      <c r="V1160">
        <v>4.66</v>
      </c>
      <c r="W1160">
        <v>4.18</v>
      </c>
      <c r="X1160">
        <v>1.94</v>
      </c>
      <c r="Y1160">
        <v>1.57</v>
      </c>
      <c r="Z1160">
        <v>3.1</v>
      </c>
      <c r="AA1160">
        <v>2.73</v>
      </c>
      <c r="AB1160">
        <v>1.33</v>
      </c>
      <c r="AC1160">
        <v>2.79</v>
      </c>
      <c r="AD1160">
        <v>4.6900000000000004</v>
      </c>
      <c r="AE1160">
        <v>2.23</v>
      </c>
      <c r="AF1160">
        <v>2.811666666666667</v>
      </c>
      <c r="AG1160" t="str">
        <f>HYPERLINK("https://finance.naver.com/item/fchart.naver?code=238490", "힘스 차트보기")</f>
        <v>힘스 차트보기</v>
      </c>
    </row>
    <row r="1161" spans="1:33" x14ac:dyDescent="0.3">
      <c r="A1161" t="s">
        <v>4671</v>
      </c>
      <c r="B1161" t="s">
        <v>34</v>
      </c>
      <c r="C1161" t="s">
        <v>4672</v>
      </c>
      <c r="D1161">
        <v>15378.43</v>
      </c>
      <c r="E1161" t="s">
        <v>4673</v>
      </c>
      <c r="F1161">
        <v>13.22</v>
      </c>
      <c r="G1161">
        <v>0.69999998807907104</v>
      </c>
      <c r="H1161">
        <v>89</v>
      </c>
      <c r="I1161">
        <v>0</v>
      </c>
      <c r="J1161" t="s">
        <v>4674</v>
      </c>
      <c r="K1161">
        <v>1422</v>
      </c>
      <c r="L1161">
        <v>1177</v>
      </c>
      <c r="M1161">
        <v>-17.23</v>
      </c>
      <c r="N1161">
        <v>-2.2400000000000002</v>
      </c>
      <c r="O1161">
        <v>-5.45</v>
      </c>
      <c r="P1161">
        <v>-2.68</v>
      </c>
      <c r="Q1161">
        <v>1.07</v>
      </c>
      <c r="R1161">
        <v>-1.62</v>
      </c>
      <c r="S1161">
        <v>-7.98</v>
      </c>
      <c r="T1161">
        <v>1.27</v>
      </c>
      <c r="U1161">
        <v>1.42</v>
      </c>
      <c r="V1161">
        <v>0.94</v>
      </c>
      <c r="W1161">
        <v>2.74</v>
      </c>
      <c r="X1161">
        <v>1.23</v>
      </c>
      <c r="Y1161">
        <v>1.19</v>
      </c>
      <c r="Z1161">
        <v>1.76</v>
      </c>
      <c r="AA1161">
        <v>3.84</v>
      </c>
      <c r="AB1161">
        <v>2.85</v>
      </c>
      <c r="AC1161">
        <v>0.39</v>
      </c>
      <c r="AD1161">
        <v>1.32</v>
      </c>
      <c r="AE1161">
        <v>6.71</v>
      </c>
      <c r="AF1161">
        <v>2.811666666666667</v>
      </c>
      <c r="AG1161" t="str">
        <f>HYPERLINK("https://finance.naver.com/item/fchart.naver?code=013000", "세우글로벌 차트보기")</f>
        <v>세우글로벌 차트보기</v>
      </c>
    </row>
    <row r="1162" spans="1:33" x14ac:dyDescent="0.3">
      <c r="A1162" t="s">
        <v>4675</v>
      </c>
      <c r="B1162" t="s">
        <v>55</v>
      </c>
      <c r="C1162" t="s">
        <v>4676</v>
      </c>
      <c r="D1162">
        <v>396267.81</v>
      </c>
      <c r="E1162" t="s">
        <v>4677</v>
      </c>
      <c r="F1162">
        <v>19.28</v>
      </c>
      <c r="G1162">
        <v>0.5899999737739563</v>
      </c>
      <c r="H1162">
        <v>194</v>
      </c>
      <c r="I1162">
        <v>0</v>
      </c>
      <c r="J1162" t="s">
        <v>4678</v>
      </c>
      <c r="K1162">
        <v>5500</v>
      </c>
      <c r="L1162">
        <v>3740</v>
      </c>
      <c r="M1162">
        <v>-32</v>
      </c>
      <c r="N1162">
        <v>0.27</v>
      </c>
      <c r="O1162">
        <v>-10.96</v>
      </c>
      <c r="P1162">
        <v>-6.16</v>
      </c>
      <c r="Q1162">
        <v>-8.9600000000000009</v>
      </c>
      <c r="R1162">
        <v>-2.86</v>
      </c>
      <c r="S1162">
        <v>-10</v>
      </c>
      <c r="T1162">
        <v>2.2000000000000002</v>
      </c>
      <c r="U1162">
        <v>2.46</v>
      </c>
      <c r="V1162">
        <v>1.89</v>
      </c>
      <c r="W1162">
        <v>5.49</v>
      </c>
      <c r="X1162">
        <v>2.06</v>
      </c>
      <c r="Y1162">
        <v>1.66</v>
      </c>
      <c r="Z1162">
        <v>0.12</v>
      </c>
      <c r="AA1162">
        <v>4.46</v>
      </c>
      <c r="AB1162">
        <v>3.26</v>
      </c>
      <c r="AC1162">
        <v>1.63</v>
      </c>
      <c r="AD1162">
        <v>1.39</v>
      </c>
      <c r="AE1162">
        <v>6.02</v>
      </c>
      <c r="AF1162">
        <v>2.813333333333333</v>
      </c>
      <c r="AG1162" t="str">
        <f>HYPERLINK("https://finance.naver.com/item/fchart.naver?code=038870", "에코바이오 차트보기")</f>
        <v>에코바이오 차트보기</v>
      </c>
    </row>
    <row r="1163" spans="1:33" x14ac:dyDescent="0.3">
      <c r="A1163" t="s">
        <v>4679</v>
      </c>
      <c r="B1163" t="s">
        <v>55</v>
      </c>
      <c r="C1163" t="s">
        <v>4680</v>
      </c>
      <c r="D1163">
        <v>110555.1</v>
      </c>
      <c r="E1163" t="s">
        <v>4681</v>
      </c>
      <c r="F1163">
        <v>0</v>
      </c>
      <c r="G1163">
        <v>1.0900000333786011</v>
      </c>
      <c r="H1163">
        <v>0</v>
      </c>
      <c r="I1163">
        <v>0</v>
      </c>
      <c r="J1163" t="s">
        <v>4682</v>
      </c>
      <c r="K1163">
        <v>2245</v>
      </c>
      <c r="L1163">
        <v>1968</v>
      </c>
      <c r="M1163">
        <v>-12.34</v>
      </c>
      <c r="N1163">
        <v>-6.06</v>
      </c>
      <c r="O1163">
        <v>-9.01</v>
      </c>
      <c r="P1163">
        <v>0.65</v>
      </c>
      <c r="Q1163">
        <v>23.92</v>
      </c>
      <c r="R1163">
        <v>-0.67</v>
      </c>
      <c r="S1163">
        <v>-3.69</v>
      </c>
      <c r="T1163">
        <v>1.45</v>
      </c>
      <c r="U1163">
        <v>1.64</v>
      </c>
      <c r="V1163">
        <v>3.57</v>
      </c>
      <c r="W1163">
        <v>13.42</v>
      </c>
      <c r="X1163">
        <v>4.6100000000000003</v>
      </c>
      <c r="Y1163">
        <v>0.72</v>
      </c>
      <c r="Z1163">
        <v>4.18</v>
      </c>
      <c r="AA1163">
        <v>5.49</v>
      </c>
      <c r="AB1163">
        <v>0.18</v>
      </c>
      <c r="AC1163">
        <v>1.78</v>
      </c>
      <c r="AD1163">
        <v>0.15</v>
      </c>
      <c r="AE1163">
        <v>5.12</v>
      </c>
      <c r="AF1163">
        <v>2.816666666666666</v>
      </c>
      <c r="AG1163" t="str">
        <f>HYPERLINK("https://finance.naver.com/item/fchart.naver?code=114450", "그린생명과학 차트보기")</f>
        <v>그린생명과학 차트보기</v>
      </c>
    </row>
    <row r="1164" spans="1:33" x14ac:dyDescent="0.3">
      <c r="A1164" t="s">
        <v>4683</v>
      </c>
      <c r="B1164" t="s">
        <v>34</v>
      </c>
      <c r="C1164" t="s">
        <v>4684</v>
      </c>
      <c r="D1164">
        <v>2627.14</v>
      </c>
      <c r="E1164" t="s">
        <v>4685</v>
      </c>
      <c r="F1164">
        <v>0</v>
      </c>
      <c r="G1164">
        <v>0</v>
      </c>
      <c r="H1164">
        <v>0</v>
      </c>
      <c r="I1164">
        <v>5.4000000953674316</v>
      </c>
      <c r="J1164" t="s">
        <v>4686</v>
      </c>
      <c r="K1164">
        <v>61200</v>
      </c>
      <c r="L1164">
        <v>58300</v>
      </c>
      <c r="M1164">
        <v>-4.74</v>
      </c>
      <c r="N1164">
        <v>-1.69</v>
      </c>
      <c r="O1164">
        <v>-0.83</v>
      </c>
      <c r="P1164">
        <v>0.5</v>
      </c>
      <c r="Q1164">
        <v>-2.61</v>
      </c>
      <c r="R1164">
        <v>1.33</v>
      </c>
      <c r="S1164">
        <v>-1.63</v>
      </c>
      <c r="T1164">
        <v>0.49</v>
      </c>
      <c r="U1164">
        <v>0.26</v>
      </c>
      <c r="V1164">
        <v>0.84</v>
      </c>
      <c r="W1164">
        <v>0.91</v>
      </c>
      <c r="X1164">
        <v>0.4</v>
      </c>
      <c r="Y1164">
        <v>0.47</v>
      </c>
      <c r="Z1164">
        <v>3.45</v>
      </c>
      <c r="AA1164">
        <v>3.19</v>
      </c>
      <c r="AB1164">
        <v>0.6</v>
      </c>
      <c r="AC1164">
        <v>2.87</v>
      </c>
      <c r="AD1164">
        <v>3.33</v>
      </c>
      <c r="AE1164">
        <v>3.47</v>
      </c>
      <c r="AF1164">
        <v>2.8183333333333329</v>
      </c>
      <c r="AG1164" t="str">
        <f>HYPERLINK("https://finance.naver.com/item/fchart.naver?code=003555", "LG우 차트보기")</f>
        <v>LG우 차트보기</v>
      </c>
    </row>
    <row r="1165" spans="1:33" x14ac:dyDescent="0.3">
      <c r="A1165" t="s">
        <v>4687</v>
      </c>
      <c r="B1165" t="s">
        <v>55</v>
      </c>
      <c r="C1165" t="s">
        <v>4688</v>
      </c>
      <c r="D1165">
        <v>247553.86</v>
      </c>
      <c r="E1165" t="s">
        <v>4689</v>
      </c>
      <c r="F1165">
        <v>3.66</v>
      </c>
      <c r="G1165">
        <v>0.30000001192092901</v>
      </c>
      <c r="H1165">
        <v>737</v>
      </c>
      <c r="I1165">
        <v>0</v>
      </c>
      <c r="J1165" t="s">
        <v>4690</v>
      </c>
      <c r="K1165">
        <v>3095</v>
      </c>
      <c r="L1165">
        <v>2700</v>
      </c>
      <c r="M1165">
        <v>-12.76</v>
      </c>
      <c r="N1165">
        <v>-18.43</v>
      </c>
      <c r="O1165">
        <v>2.96</v>
      </c>
      <c r="P1165">
        <v>-8.1199999999999992</v>
      </c>
      <c r="Q1165">
        <v>32.03</v>
      </c>
      <c r="R1165">
        <v>0.56999999999999995</v>
      </c>
      <c r="S1165">
        <v>-6.36</v>
      </c>
      <c r="T1165">
        <v>4.38</v>
      </c>
      <c r="U1165">
        <v>2.99</v>
      </c>
      <c r="V1165">
        <v>2.94</v>
      </c>
      <c r="W1165">
        <v>8.41</v>
      </c>
      <c r="X1165">
        <v>2.58</v>
      </c>
      <c r="Y1165">
        <v>1.29</v>
      </c>
      <c r="Z1165">
        <v>4.21</v>
      </c>
      <c r="AA1165">
        <v>0.99</v>
      </c>
      <c r="AB1165">
        <v>2.76</v>
      </c>
      <c r="AC1165">
        <v>3.81</v>
      </c>
      <c r="AD1165">
        <v>0.22</v>
      </c>
      <c r="AE1165">
        <v>4.93</v>
      </c>
      <c r="AF1165">
        <v>2.82</v>
      </c>
      <c r="AG1165" t="str">
        <f>HYPERLINK("https://finance.naver.com/item/fchart.naver?code=017000", "신원종합개발 차트보기")</f>
        <v>신원종합개발 차트보기</v>
      </c>
    </row>
    <row r="1166" spans="1:33" x14ac:dyDescent="0.3">
      <c r="A1166" t="s">
        <v>4691</v>
      </c>
      <c r="B1166" t="s">
        <v>34</v>
      </c>
      <c r="C1166" t="s">
        <v>4692</v>
      </c>
      <c r="D1166">
        <v>207384.71</v>
      </c>
      <c r="E1166" t="s">
        <v>4693</v>
      </c>
      <c r="F1166">
        <v>12.42</v>
      </c>
      <c r="G1166">
        <v>1.5900000333786011</v>
      </c>
      <c r="H1166">
        <v>3615</v>
      </c>
      <c r="I1166">
        <v>4.809999942779541</v>
      </c>
      <c r="J1166" t="s">
        <v>4694</v>
      </c>
      <c r="K1166">
        <v>36500</v>
      </c>
      <c r="L1166">
        <v>44900</v>
      </c>
      <c r="M1166">
        <v>23.01</v>
      </c>
      <c r="N1166">
        <v>3.34</v>
      </c>
      <c r="O1166">
        <v>7.43</v>
      </c>
      <c r="P1166">
        <v>2.56</v>
      </c>
      <c r="Q1166">
        <v>5.98</v>
      </c>
      <c r="R1166">
        <v>6.78</v>
      </c>
      <c r="S1166">
        <v>2.85</v>
      </c>
      <c r="T1166">
        <v>1.71</v>
      </c>
      <c r="U1166">
        <v>1.26</v>
      </c>
      <c r="V1166">
        <v>1.97</v>
      </c>
      <c r="W1166">
        <v>2.35</v>
      </c>
      <c r="X1166">
        <v>2.1800000000000002</v>
      </c>
      <c r="Y1166">
        <v>1.34</v>
      </c>
      <c r="Z1166">
        <v>1.95</v>
      </c>
      <c r="AA1166">
        <v>5.9</v>
      </c>
      <c r="AB1166">
        <v>1.3</v>
      </c>
      <c r="AC1166">
        <v>2.54</v>
      </c>
      <c r="AD1166">
        <v>3.11</v>
      </c>
      <c r="AE1166">
        <v>2.13</v>
      </c>
      <c r="AF1166">
        <v>2.8216666666666672</v>
      </c>
      <c r="AG1166" t="str">
        <f>HYPERLINK("https://finance.naver.com/item/fchart.naver?code=051600", "한전KPS 차트보기")</f>
        <v>한전KPS 차트보기</v>
      </c>
    </row>
    <row r="1167" spans="1:33" x14ac:dyDescent="0.3">
      <c r="A1167" t="s">
        <v>4695</v>
      </c>
      <c r="B1167" t="s">
        <v>34</v>
      </c>
      <c r="C1167" t="s">
        <v>4696</v>
      </c>
      <c r="D1167">
        <v>162281.38</v>
      </c>
      <c r="E1167" t="s">
        <v>4697</v>
      </c>
      <c r="F1167">
        <v>0</v>
      </c>
      <c r="G1167">
        <v>0.2199999988079071</v>
      </c>
      <c r="H1167">
        <v>0</v>
      </c>
      <c r="I1167">
        <v>6.8000001907348633</v>
      </c>
      <c r="J1167" t="s">
        <v>4698</v>
      </c>
      <c r="K1167">
        <v>1029</v>
      </c>
      <c r="L1167">
        <v>1029</v>
      </c>
      <c r="M1167">
        <v>0</v>
      </c>
      <c r="N1167">
        <v>-0.96</v>
      </c>
      <c r="O1167">
        <v>0.1</v>
      </c>
      <c r="P1167">
        <v>-3.34</v>
      </c>
      <c r="Q1167">
        <v>4.7699999999999996</v>
      </c>
      <c r="R1167">
        <v>3.59</v>
      </c>
      <c r="S1167">
        <v>-1.28</v>
      </c>
      <c r="T1167">
        <v>0.36</v>
      </c>
      <c r="U1167">
        <v>0.67</v>
      </c>
      <c r="V1167">
        <v>1.32</v>
      </c>
      <c r="W1167">
        <v>1.58</v>
      </c>
      <c r="X1167">
        <v>1.1100000000000001</v>
      </c>
      <c r="Y1167">
        <v>0.24</v>
      </c>
      <c r="Z1167">
        <v>2.67</v>
      </c>
      <c r="AA1167">
        <v>0.15</v>
      </c>
      <c r="AB1167">
        <v>2.5299999999999998</v>
      </c>
      <c r="AC1167">
        <v>3.02</v>
      </c>
      <c r="AD1167">
        <v>3.23</v>
      </c>
      <c r="AE1167">
        <v>5.33</v>
      </c>
      <c r="AF1167">
        <v>2.8216666666666672</v>
      </c>
      <c r="AG1167" t="str">
        <f>HYPERLINK("https://finance.naver.com/item/fchart.naver?code=034830", "한국토지신탁 차트보기")</f>
        <v>한국토지신탁 차트보기</v>
      </c>
    </row>
    <row r="1168" spans="1:33" x14ac:dyDescent="0.3">
      <c r="A1168" t="s">
        <v>4699</v>
      </c>
      <c r="B1168" t="s">
        <v>34</v>
      </c>
      <c r="C1168" t="s">
        <v>4700</v>
      </c>
      <c r="D1168">
        <v>28818.33</v>
      </c>
      <c r="E1168" t="s">
        <v>4701</v>
      </c>
      <c r="F1168">
        <v>10.51</v>
      </c>
      <c r="G1168">
        <v>0.81999999284744263</v>
      </c>
      <c r="H1168">
        <v>7068</v>
      </c>
      <c r="I1168">
        <v>0.93999999761581421</v>
      </c>
      <c r="J1168" t="s">
        <v>4702</v>
      </c>
      <c r="K1168">
        <v>66200</v>
      </c>
      <c r="L1168">
        <v>74300</v>
      </c>
      <c r="M1168">
        <v>12.24</v>
      </c>
      <c r="N1168">
        <v>-4.62</v>
      </c>
      <c r="O1168">
        <v>10.1</v>
      </c>
      <c r="P1168">
        <v>-1.27</v>
      </c>
      <c r="Q1168">
        <v>20.420000000000002</v>
      </c>
      <c r="R1168">
        <v>-8.89</v>
      </c>
      <c r="S1168">
        <v>0.88</v>
      </c>
      <c r="T1168">
        <v>3</v>
      </c>
      <c r="U1168">
        <v>2.48</v>
      </c>
      <c r="V1168">
        <v>1.91</v>
      </c>
      <c r="W1168">
        <v>4.66</v>
      </c>
      <c r="X1168">
        <v>1.52</v>
      </c>
      <c r="Y1168">
        <v>2.0699999999999998</v>
      </c>
      <c r="Z1168">
        <v>1.54</v>
      </c>
      <c r="AA1168">
        <v>4.07</v>
      </c>
      <c r="AB1168">
        <v>0.66</v>
      </c>
      <c r="AC1168">
        <v>4.38</v>
      </c>
      <c r="AD1168">
        <v>5.85</v>
      </c>
      <c r="AE1168">
        <v>0.43</v>
      </c>
      <c r="AF1168">
        <v>2.8216666666666672</v>
      </c>
      <c r="AG1168" t="str">
        <f>HYPERLINK("https://finance.naver.com/item/fchart.naver?code=025540", "한국단자 차트보기")</f>
        <v>한국단자 차트보기</v>
      </c>
    </row>
    <row r="1169" spans="1:33" x14ac:dyDescent="0.3">
      <c r="A1169" t="s">
        <v>4703</v>
      </c>
      <c r="B1169" t="s">
        <v>55</v>
      </c>
      <c r="C1169" t="s">
        <v>4704</v>
      </c>
      <c r="D1169">
        <v>56030.86</v>
      </c>
      <c r="E1169" t="s">
        <v>4705</v>
      </c>
      <c r="F1169">
        <v>12.86</v>
      </c>
      <c r="G1169">
        <v>0.62000000476837158</v>
      </c>
      <c r="H1169">
        <v>358</v>
      </c>
      <c r="I1169">
        <v>0</v>
      </c>
      <c r="J1169" t="s">
        <v>4706</v>
      </c>
      <c r="K1169">
        <v>4900</v>
      </c>
      <c r="L1169">
        <v>4605</v>
      </c>
      <c r="M1169">
        <v>-6.02</v>
      </c>
      <c r="N1169">
        <v>-4.5599999999999996</v>
      </c>
      <c r="O1169">
        <v>-11.66</v>
      </c>
      <c r="P1169">
        <v>7.48</v>
      </c>
      <c r="Q1169">
        <v>15.94</v>
      </c>
      <c r="R1169">
        <v>2.5</v>
      </c>
      <c r="S1169">
        <v>-14.21</v>
      </c>
      <c r="T1169">
        <v>2.71</v>
      </c>
      <c r="U1169">
        <v>2.37</v>
      </c>
      <c r="V1169">
        <v>3.31</v>
      </c>
      <c r="W1169">
        <v>4.5199999999999996</v>
      </c>
      <c r="X1169">
        <v>2.66</v>
      </c>
      <c r="Y1169">
        <v>3.94</v>
      </c>
      <c r="Z1169">
        <v>1.68</v>
      </c>
      <c r="AA1169">
        <v>4.92</v>
      </c>
      <c r="AB1169">
        <v>2.2599999999999998</v>
      </c>
      <c r="AC1169">
        <v>3.53</v>
      </c>
      <c r="AD1169">
        <v>0.94</v>
      </c>
      <c r="AE1169">
        <v>3.61</v>
      </c>
      <c r="AF1169">
        <v>2.8233333333333328</v>
      </c>
      <c r="AG1169" t="str">
        <f>HYPERLINK("https://finance.naver.com/item/fchart.naver?code=101240", "씨큐브 차트보기")</f>
        <v>씨큐브 차트보기</v>
      </c>
    </row>
    <row r="1170" spans="1:33" x14ac:dyDescent="0.3">
      <c r="A1170" t="s">
        <v>4707</v>
      </c>
      <c r="B1170" t="s">
        <v>55</v>
      </c>
      <c r="C1170" t="s">
        <v>4708</v>
      </c>
      <c r="D1170">
        <v>129582.9</v>
      </c>
      <c r="E1170" t="s">
        <v>4709</v>
      </c>
      <c r="F1170">
        <v>0</v>
      </c>
      <c r="G1170">
        <v>2.0099999904632568</v>
      </c>
      <c r="H1170">
        <v>0</v>
      </c>
      <c r="I1170">
        <v>0</v>
      </c>
      <c r="J1170" t="s">
        <v>4710</v>
      </c>
      <c r="K1170">
        <v>7120</v>
      </c>
      <c r="L1170">
        <v>5020</v>
      </c>
      <c r="M1170">
        <v>-29.49</v>
      </c>
      <c r="N1170">
        <v>1.93</v>
      </c>
      <c r="O1170">
        <v>-17.97</v>
      </c>
      <c r="P1170">
        <v>6.6</v>
      </c>
      <c r="Q1170">
        <v>-2.71</v>
      </c>
      <c r="R1170">
        <v>11.21</v>
      </c>
      <c r="S1170">
        <v>-13.33</v>
      </c>
      <c r="T1170">
        <v>4.28</v>
      </c>
      <c r="U1170">
        <v>3.49</v>
      </c>
      <c r="V1170">
        <v>4.2699999999999996</v>
      </c>
      <c r="W1170">
        <v>3.62</v>
      </c>
      <c r="X1170">
        <v>2.42</v>
      </c>
      <c r="Y1170">
        <v>3.02</v>
      </c>
      <c r="Z1170">
        <v>0.45</v>
      </c>
      <c r="AA1170">
        <v>5.15</v>
      </c>
      <c r="AB1170">
        <v>1.55</v>
      </c>
      <c r="AC1170">
        <v>0.75</v>
      </c>
      <c r="AD1170">
        <v>4.63</v>
      </c>
      <c r="AE1170">
        <v>4.41</v>
      </c>
      <c r="AF1170">
        <v>2.8233333333333341</v>
      </c>
      <c r="AG1170" t="str">
        <f>HYPERLINK("https://finance.naver.com/item/fchart.naver?code=321550", "티움바이오 차트보기")</f>
        <v>티움바이오 차트보기</v>
      </c>
    </row>
    <row r="1171" spans="1:33" x14ac:dyDescent="0.3">
      <c r="A1171" t="s">
        <v>4711</v>
      </c>
      <c r="B1171" t="s">
        <v>34</v>
      </c>
      <c r="C1171" t="s">
        <v>4712</v>
      </c>
      <c r="D1171">
        <v>19200.38</v>
      </c>
      <c r="E1171" t="s">
        <v>4713</v>
      </c>
      <c r="F1171">
        <v>0</v>
      </c>
      <c r="G1171">
        <v>0.38999998569488531</v>
      </c>
      <c r="H1171">
        <v>0</v>
      </c>
      <c r="I1171">
        <v>3.0799999237060551</v>
      </c>
      <c r="J1171" t="s">
        <v>4714</v>
      </c>
      <c r="K1171">
        <v>4310</v>
      </c>
      <c r="L1171">
        <v>3570</v>
      </c>
      <c r="M1171">
        <v>-17.170000000000002</v>
      </c>
      <c r="N1171">
        <v>2.59</v>
      </c>
      <c r="O1171">
        <v>-0.99</v>
      </c>
      <c r="P1171">
        <v>-0.7</v>
      </c>
      <c r="Q1171">
        <v>-9.33</v>
      </c>
      <c r="R1171">
        <v>-2.76</v>
      </c>
      <c r="S1171">
        <v>-9.44</v>
      </c>
      <c r="T1171">
        <v>0.57999999999999996</v>
      </c>
      <c r="U1171">
        <v>0.7</v>
      </c>
      <c r="V1171">
        <v>1.51</v>
      </c>
      <c r="W1171">
        <v>3.91</v>
      </c>
      <c r="X1171">
        <v>2.0099999999999998</v>
      </c>
      <c r="Y1171">
        <v>1.38</v>
      </c>
      <c r="Z1171">
        <v>4.47</v>
      </c>
      <c r="AA1171">
        <v>1.41</v>
      </c>
      <c r="AB1171">
        <v>0.46</v>
      </c>
      <c r="AC1171">
        <v>2.39</v>
      </c>
      <c r="AD1171">
        <v>1.37</v>
      </c>
      <c r="AE1171">
        <v>6.84</v>
      </c>
      <c r="AF1171">
        <v>2.8233333333333341</v>
      </c>
      <c r="AG1171" t="str">
        <f>HYPERLINK("https://finance.naver.com/item/fchart.naver?code=005750", "대림B&amp;Co 차트보기")</f>
        <v>대림B&amp;Co 차트보기</v>
      </c>
    </row>
    <row r="1172" spans="1:33" x14ac:dyDescent="0.3">
      <c r="A1172" t="s">
        <v>4715</v>
      </c>
      <c r="B1172" t="s">
        <v>55</v>
      </c>
      <c r="C1172" t="s">
        <v>4716</v>
      </c>
      <c r="D1172">
        <v>9831.14</v>
      </c>
      <c r="E1172" t="s">
        <v>4717</v>
      </c>
      <c r="F1172">
        <v>0</v>
      </c>
      <c r="G1172">
        <v>0</v>
      </c>
      <c r="H1172">
        <v>0</v>
      </c>
      <c r="I1172">
        <v>0</v>
      </c>
      <c r="J1172" t="s">
        <v>4718</v>
      </c>
      <c r="K1172">
        <v>2490</v>
      </c>
      <c r="L1172">
        <v>2180</v>
      </c>
      <c r="M1172">
        <v>-12.45</v>
      </c>
      <c r="N1172">
        <v>0</v>
      </c>
      <c r="O1172">
        <v>-1.81</v>
      </c>
      <c r="P1172">
        <v>-1.99</v>
      </c>
      <c r="Q1172">
        <v>-5.0199999999999996</v>
      </c>
      <c r="R1172">
        <v>-5.91</v>
      </c>
      <c r="S1172">
        <v>3.29</v>
      </c>
      <c r="T1172">
        <v>0.36</v>
      </c>
      <c r="U1172">
        <v>1.0900000000000001</v>
      </c>
      <c r="V1172">
        <v>1.47</v>
      </c>
      <c r="W1172">
        <v>1.6</v>
      </c>
      <c r="X1172">
        <v>0.89</v>
      </c>
      <c r="Y1172">
        <v>0.79</v>
      </c>
      <c r="Z1172">
        <v>0</v>
      </c>
      <c r="AA1172">
        <v>1.66</v>
      </c>
      <c r="AB1172">
        <v>1.35</v>
      </c>
      <c r="AC1172">
        <v>3.14</v>
      </c>
      <c r="AD1172">
        <v>6.64</v>
      </c>
      <c r="AE1172">
        <v>4.16</v>
      </c>
      <c r="AF1172">
        <v>2.8250000000000002</v>
      </c>
      <c r="AG1172" t="str">
        <f>HYPERLINK("https://finance.naver.com/item/fchart.naver?code=439730", "IBKS제20호스팩 차트보기")</f>
        <v>IBKS제20호스팩 차트보기</v>
      </c>
    </row>
    <row r="1173" spans="1:33" x14ac:dyDescent="0.3">
      <c r="A1173" t="s">
        <v>4719</v>
      </c>
      <c r="B1173" t="s">
        <v>55</v>
      </c>
      <c r="C1173" t="s">
        <v>4720</v>
      </c>
      <c r="D1173">
        <v>2466199.52</v>
      </c>
      <c r="E1173" t="s">
        <v>4721</v>
      </c>
      <c r="F1173">
        <v>0</v>
      </c>
      <c r="G1173">
        <v>2.529999971389771</v>
      </c>
      <c r="H1173">
        <v>0</v>
      </c>
      <c r="I1173">
        <v>0</v>
      </c>
      <c r="J1173" t="s">
        <v>4722</v>
      </c>
      <c r="K1173">
        <v>3550</v>
      </c>
      <c r="L1173">
        <v>4245</v>
      </c>
      <c r="M1173">
        <v>19.579999999999998</v>
      </c>
      <c r="N1173">
        <v>-0.47</v>
      </c>
      <c r="O1173">
        <v>15.34</v>
      </c>
      <c r="P1173">
        <v>2.85</v>
      </c>
      <c r="Q1173">
        <v>-2.81</v>
      </c>
      <c r="R1173">
        <v>7.43</v>
      </c>
      <c r="S1173">
        <v>-2.56</v>
      </c>
      <c r="T1173">
        <v>7.88</v>
      </c>
      <c r="U1173">
        <v>1.88</v>
      </c>
      <c r="V1173">
        <v>1.69</v>
      </c>
      <c r="W1173">
        <v>2.74</v>
      </c>
      <c r="X1173">
        <v>1.95</v>
      </c>
      <c r="Y1173">
        <v>1.1599999999999999</v>
      </c>
      <c r="Z1173">
        <v>0.06</v>
      </c>
      <c r="AA1173">
        <v>8.16</v>
      </c>
      <c r="AB1173">
        <v>1.69</v>
      </c>
      <c r="AC1173">
        <v>1.03</v>
      </c>
      <c r="AD1173">
        <v>3.81</v>
      </c>
      <c r="AE1173">
        <v>2.21</v>
      </c>
      <c r="AF1173">
        <v>2.8266666666666671</v>
      </c>
      <c r="AG1173" t="str">
        <f>HYPERLINK("https://finance.naver.com/item/fchart.naver?code=086980", "쇼박스 차트보기")</f>
        <v>쇼박스 차트보기</v>
      </c>
    </row>
    <row r="1174" spans="1:33" x14ac:dyDescent="0.3">
      <c r="A1174" t="s">
        <v>4723</v>
      </c>
      <c r="B1174" t="s">
        <v>55</v>
      </c>
      <c r="C1174" t="s">
        <v>4724</v>
      </c>
      <c r="D1174">
        <v>25648.14</v>
      </c>
      <c r="E1174" t="s">
        <v>4725</v>
      </c>
      <c r="F1174">
        <v>11.19</v>
      </c>
      <c r="G1174">
        <v>0.82999998331069946</v>
      </c>
      <c r="H1174">
        <v>852</v>
      </c>
      <c r="I1174">
        <v>0</v>
      </c>
      <c r="J1174" t="s">
        <v>4726</v>
      </c>
      <c r="K1174">
        <v>10140</v>
      </c>
      <c r="L1174">
        <v>9530</v>
      </c>
      <c r="M1174">
        <v>-6.02</v>
      </c>
      <c r="N1174">
        <v>-4.7</v>
      </c>
      <c r="O1174">
        <v>-5.49</v>
      </c>
      <c r="P1174">
        <v>8.25</v>
      </c>
      <c r="Q1174">
        <v>7.27</v>
      </c>
      <c r="R1174">
        <v>5.16</v>
      </c>
      <c r="S1174">
        <v>-7.08</v>
      </c>
      <c r="T1174">
        <v>1.39</v>
      </c>
      <c r="U1174">
        <v>2.41</v>
      </c>
      <c r="V1174">
        <v>3.48</v>
      </c>
      <c r="W1174">
        <v>4.1399999999999997</v>
      </c>
      <c r="X1174">
        <v>2.11</v>
      </c>
      <c r="Y1174">
        <v>1.5</v>
      </c>
      <c r="Z1174">
        <v>3.38</v>
      </c>
      <c r="AA1174">
        <v>2.2799999999999998</v>
      </c>
      <c r="AB1174">
        <v>2.37</v>
      </c>
      <c r="AC1174">
        <v>1.76</v>
      </c>
      <c r="AD1174">
        <v>2.4500000000000002</v>
      </c>
      <c r="AE1174">
        <v>4.72</v>
      </c>
      <c r="AF1174">
        <v>2.8266666666666671</v>
      </c>
      <c r="AG1174" t="str">
        <f>HYPERLINK("https://finance.naver.com/item/fchart.naver?code=072990", "에이치시티 차트보기")</f>
        <v>에이치시티 차트보기</v>
      </c>
    </row>
    <row r="1175" spans="1:33" x14ac:dyDescent="0.3">
      <c r="A1175" t="s">
        <v>4727</v>
      </c>
      <c r="B1175" t="s">
        <v>34</v>
      </c>
      <c r="C1175" t="s">
        <v>4728</v>
      </c>
      <c r="D1175">
        <v>51357.43</v>
      </c>
      <c r="E1175" t="s">
        <v>4729</v>
      </c>
      <c r="F1175">
        <v>11.8</v>
      </c>
      <c r="G1175">
        <v>1.0199999809265139</v>
      </c>
      <c r="H1175">
        <v>1585</v>
      </c>
      <c r="I1175">
        <v>3.2100000381469731</v>
      </c>
      <c r="J1175" t="s">
        <v>4730</v>
      </c>
      <c r="K1175">
        <v>25800</v>
      </c>
      <c r="L1175">
        <v>18700</v>
      </c>
      <c r="M1175">
        <v>-27.52</v>
      </c>
      <c r="N1175">
        <v>9.36</v>
      </c>
      <c r="O1175">
        <v>-4.1399999999999997</v>
      </c>
      <c r="P1175">
        <v>-4.2</v>
      </c>
      <c r="Q1175">
        <v>-8.83</v>
      </c>
      <c r="R1175">
        <v>-7.91</v>
      </c>
      <c r="S1175">
        <v>1.1100000000000001</v>
      </c>
      <c r="T1175">
        <v>2.65</v>
      </c>
      <c r="U1175">
        <v>1.92</v>
      </c>
      <c r="V1175">
        <v>1.84</v>
      </c>
      <c r="W1175">
        <v>3.83</v>
      </c>
      <c r="X1175">
        <v>1.3</v>
      </c>
      <c r="Y1175">
        <v>1.85</v>
      </c>
      <c r="Z1175">
        <v>3.53</v>
      </c>
      <c r="AA1175">
        <v>2.16</v>
      </c>
      <c r="AB1175">
        <v>2.2799999999999998</v>
      </c>
      <c r="AC1175">
        <v>2.31</v>
      </c>
      <c r="AD1175">
        <v>6.08</v>
      </c>
      <c r="AE1175">
        <v>0.6</v>
      </c>
      <c r="AF1175">
        <v>2.8266666666666671</v>
      </c>
      <c r="AG1175" t="str">
        <f>HYPERLINK("https://finance.naver.com/item/fchart.naver?code=097520", "엠씨넥스 차트보기")</f>
        <v>엠씨넥스 차트보기</v>
      </c>
    </row>
    <row r="1176" spans="1:33" x14ac:dyDescent="0.3">
      <c r="A1176" t="s">
        <v>4731</v>
      </c>
      <c r="B1176" t="s">
        <v>55</v>
      </c>
      <c r="C1176" t="s">
        <v>4732</v>
      </c>
      <c r="D1176">
        <v>131525.85999999999</v>
      </c>
      <c r="E1176" t="s">
        <v>4733</v>
      </c>
      <c r="F1176">
        <v>8.27</v>
      </c>
      <c r="G1176">
        <v>0.50999999046325684</v>
      </c>
      <c r="H1176">
        <v>73</v>
      </c>
      <c r="I1176">
        <v>0</v>
      </c>
      <c r="J1176" t="s">
        <v>4734</v>
      </c>
      <c r="K1176">
        <v>851</v>
      </c>
      <c r="L1176">
        <v>604</v>
      </c>
      <c r="M1176">
        <v>-29.02</v>
      </c>
      <c r="N1176">
        <v>0.17</v>
      </c>
      <c r="O1176">
        <v>-14.38</v>
      </c>
      <c r="P1176">
        <v>14.62</v>
      </c>
      <c r="Q1176">
        <v>-4.9400000000000004</v>
      </c>
      <c r="R1176">
        <v>0.15</v>
      </c>
      <c r="S1176">
        <v>-21.05</v>
      </c>
      <c r="T1176">
        <v>2.76</v>
      </c>
      <c r="U1176">
        <v>3.5</v>
      </c>
      <c r="V1176">
        <v>9.02</v>
      </c>
      <c r="W1176">
        <v>4.6399999999999997</v>
      </c>
      <c r="X1176">
        <v>1.44</v>
      </c>
      <c r="Y1176">
        <v>2.1</v>
      </c>
      <c r="Z1176">
        <v>0.06</v>
      </c>
      <c r="AA1176">
        <v>4.1100000000000003</v>
      </c>
      <c r="AB1176">
        <v>1.62</v>
      </c>
      <c r="AC1176">
        <v>1.06</v>
      </c>
      <c r="AD1176">
        <v>0.1</v>
      </c>
      <c r="AE1176">
        <v>10.02</v>
      </c>
      <c r="AF1176">
        <v>2.8283333333333331</v>
      </c>
      <c r="AG1176" t="str">
        <f>HYPERLINK("https://finance.naver.com/item/fchart.naver?code=011080", "형지I&amp;C 차트보기")</f>
        <v>형지I&amp;C 차트보기</v>
      </c>
    </row>
    <row r="1177" spans="1:33" x14ac:dyDescent="0.3">
      <c r="A1177" t="s">
        <v>4735</v>
      </c>
      <c r="B1177" t="s">
        <v>55</v>
      </c>
      <c r="C1177" t="s">
        <v>4736</v>
      </c>
      <c r="D1177">
        <v>100519.48</v>
      </c>
      <c r="E1177" t="s">
        <v>4737</v>
      </c>
      <c r="F1177">
        <v>0</v>
      </c>
      <c r="G1177">
        <v>0.61000001430511475</v>
      </c>
      <c r="H1177">
        <v>0</v>
      </c>
      <c r="I1177">
        <v>0</v>
      </c>
      <c r="J1177" t="s">
        <v>4738</v>
      </c>
      <c r="K1177">
        <v>1742</v>
      </c>
      <c r="L1177">
        <v>1225</v>
      </c>
      <c r="M1177">
        <v>-29.68</v>
      </c>
      <c r="N1177">
        <v>-0.73</v>
      </c>
      <c r="O1177">
        <v>-2.57</v>
      </c>
      <c r="P1177">
        <v>-4.78</v>
      </c>
      <c r="Q1177">
        <v>-6.65</v>
      </c>
      <c r="R1177">
        <v>-4.38</v>
      </c>
      <c r="S1177">
        <v>-7.17</v>
      </c>
      <c r="T1177">
        <v>1.2</v>
      </c>
      <c r="U1177">
        <v>1.02</v>
      </c>
      <c r="V1177">
        <v>1.78</v>
      </c>
      <c r="W1177">
        <v>1.91</v>
      </c>
      <c r="X1177">
        <v>1.4</v>
      </c>
      <c r="Y1177">
        <v>1.58</v>
      </c>
      <c r="Z1177">
        <v>0.61</v>
      </c>
      <c r="AA1177">
        <v>2.52</v>
      </c>
      <c r="AB1177">
        <v>2.69</v>
      </c>
      <c r="AC1177">
        <v>3.48</v>
      </c>
      <c r="AD1177">
        <v>3.13</v>
      </c>
      <c r="AE1177">
        <v>4.54</v>
      </c>
      <c r="AF1177">
        <v>2.8283333333333331</v>
      </c>
      <c r="AG1177" t="str">
        <f>HYPERLINK("https://finance.naver.com/item/fchart.naver?code=146060", "율촌 차트보기")</f>
        <v>율촌 차트보기</v>
      </c>
    </row>
    <row r="1178" spans="1:33" x14ac:dyDescent="0.3">
      <c r="A1178" t="s">
        <v>4739</v>
      </c>
      <c r="B1178" t="s">
        <v>34</v>
      </c>
      <c r="C1178" t="s">
        <v>4740</v>
      </c>
      <c r="D1178">
        <v>270130.38</v>
      </c>
      <c r="E1178" t="s">
        <v>4741</v>
      </c>
      <c r="F1178">
        <v>0</v>
      </c>
      <c r="G1178">
        <v>0.40999999642372131</v>
      </c>
      <c r="H1178">
        <v>0</v>
      </c>
      <c r="I1178">
        <v>0</v>
      </c>
      <c r="J1178" t="s">
        <v>4742</v>
      </c>
      <c r="K1178">
        <v>5290</v>
      </c>
      <c r="L1178">
        <v>6040</v>
      </c>
      <c r="M1178">
        <v>14.18</v>
      </c>
      <c r="N1178">
        <v>1.85</v>
      </c>
      <c r="O1178">
        <v>8.8699999999999992</v>
      </c>
      <c r="P1178">
        <v>8.5399999999999991</v>
      </c>
      <c r="Q1178">
        <v>0</v>
      </c>
      <c r="R1178">
        <v>-3</v>
      </c>
      <c r="S1178">
        <v>-3.59</v>
      </c>
      <c r="T1178">
        <v>10.93</v>
      </c>
      <c r="U1178">
        <v>1.33</v>
      </c>
      <c r="V1178">
        <v>1.9</v>
      </c>
      <c r="W1178">
        <v>3.53</v>
      </c>
      <c r="X1178">
        <v>1.2</v>
      </c>
      <c r="Y1178">
        <v>1.1399999999999999</v>
      </c>
      <c r="Z1178">
        <v>0.17</v>
      </c>
      <c r="AA1178">
        <v>6.67</v>
      </c>
      <c r="AB1178">
        <v>4.49</v>
      </c>
      <c r="AC1178">
        <v>0</v>
      </c>
      <c r="AD1178">
        <v>2.5</v>
      </c>
      <c r="AE1178">
        <v>3.15</v>
      </c>
      <c r="AF1178">
        <v>2.83</v>
      </c>
      <c r="AG1178" t="str">
        <f>HYPERLINK("https://finance.naver.com/item/fchart.naver?code=100220", "비상교육 차트보기")</f>
        <v>비상교육 차트보기</v>
      </c>
    </row>
    <row r="1179" spans="1:33" x14ac:dyDescent="0.3">
      <c r="A1179" t="s">
        <v>4743</v>
      </c>
      <c r="B1179" t="s">
        <v>55</v>
      </c>
      <c r="C1179" t="s">
        <v>4744</v>
      </c>
      <c r="D1179">
        <v>29586.95</v>
      </c>
      <c r="E1179" t="s">
        <v>4745</v>
      </c>
      <c r="F1179">
        <v>0</v>
      </c>
      <c r="G1179">
        <v>0.87999999523162842</v>
      </c>
      <c r="H1179">
        <v>0</v>
      </c>
      <c r="I1179">
        <v>0</v>
      </c>
      <c r="J1179" t="s">
        <v>4746</v>
      </c>
      <c r="K1179">
        <v>1651</v>
      </c>
      <c r="L1179">
        <v>1160</v>
      </c>
      <c r="M1179">
        <v>-29.74</v>
      </c>
      <c r="N1179">
        <v>-11.45</v>
      </c>
      <c r="O1179">
        <v>-7.04</v>
      </c>
      <c r="P1179">
        <v>0.28000000000000003</v>
      </c>
      <c r="Q1179">
        <v>-6.55</v>
      </c>
      <c r="R1179">
        <v>2.41</v>
      </c>
      <c r="S1179">
        <v>-0.73</v>
      </c>
      <c r="T1179">
        <v>2.13</v>
      </c>
      <c r="U1179">
        <v>1.08</v>
      </c>
      <c r="V1179">
        <v>1.33</v>
      </c>
      <c r="W1179">
        <v>2.56</v>
      </c>
      <c r="X1179">
        <v>1.65</v>
      </c>
      <c r="Y1179">
        <v>0.86</v>
      </c>
      <c r="Z1179">
        <v>5.38</v>
      </c>
      <c r="AA1179">
        <v>6.52</v>
      </c>
      <c r="AB1179">
        <v>0.21</v>
      </c>
      <c r="AC1179">
        <v>2.56</v>
      </c>
      <c r="AD1179">
        <v>1.46</v>
      </c>
      <c r="AE1179">
        <v>0.85</v>
      </c>
      <c r="AF1179">
        <v>2.83</v>
      </c>
      <c r="AG1179" t="str">
        <f>HYPERLINK("https://finance.naver.com/item/fchart.naver?code=034940", "조아제약 차트보기")</f>
        <v>조아제약 차트보기</v>
      </c>
    </row>
    <row r="1180" spans="1:33" x14ac:dyDescent="0.3">
      <c r="A1180" t="s">
        <v>4747</v>
      </c>
      <c r="B1180" t="s">
        <v>55</v>
      </c>
      <c r="C1180" t="s">
        <v>4748</v>
      </c>
      <c r="D1180">
        <v>2393002.86</v>
      </c>
      <c r="E1180" t="s">
        <v>4749</v>
      </c>
      <c r="F1180">
        <v>0</v>
      </c>
      <c r="G1180">
        <v>9.119999885559082</v>
      </c>
      <c r="H1180">
        <v>0</v>
      </c>
      <c r="I1180">
        <v>0</v>
      </c>
      <c r="J1180" t="s">
        <v>4750</v>
      </c>
      <c r="K1180">
        <v>1833</v>
      </c>
      <c r="L1180">
        <v>602</v>
      </c>
      <c r="M1180">
        <v>-67.16</v>
      </c>
      <c r="N1180">
        <v>-5.94</v>
      </c>
      <c r="O1180">
        <v>19.3</v>
      </c>
      <c r="P1180">
        <v>-17.760000000000002</v>
      </c>
      <c r="Q1180">
        <v>-55.78</v>
      </c>
      <c r="R1180">
        <v>-3.12</v>
      </c>
      <c r="S1180">
        <v>-8.01</v>
      </c>
      <c r="T1180">
        <v>2.95</v>
      </c>
      <c r="U1180">
        <v>9.2100000000000009</v>
      </c>
      <c r="V1180">
        <v>3.01</v>
      </c>
      <c r="W1180">
        <v>10.35</v>
      </c>
      <c r="X1180">
        <v>5.39</v>
      </c>
      <c r="Y1180">
        <v>7.93</v>
      </c>
      <c r="Z1180">
        <v>2.0099999999999998</v>
      </c>
      <c r="AA1180">
        <v>2.1</v>
      </c>
      <c r="AB1180">
        <v>5.9</v>
      </c>
      <c r="AC1180">
        <v>5.39</v>
      </c>
      <c r="AD1180">
        <v>0.57999999999999996</v>
      </c>
      <c r="AE1180">
        <v>1.01</v>
      </c>
      <c r="AF1180">
        <v>2.831666666666667</v>
      </c>
      <c r="AG1180" t="str">
        <f>HYPERLINK("https://finance.naver.com/item/fchart.naver?code=373200", "엑스플러스 차트보기")</f>
        <v>엑스플러스 차트보기</v>
      </c>
    </row>
    <row r="1181" spans="1:33" x14ac:dyDescent="0.3">
      <c r="A1181" t="s">
        <v>4751</v>
      </c>
      <c r="B1181" t="s">
        <v>55</v>
      </c>
      <c r="C1181" t="s">
        <v>4752</v>
      </c>
      <c r="D1181">
        <v>28457.14</v>
      </c>
      <c r="E1181" t="s">
        <v>4753</v>
      </c>
      <c r="F1181">
        <v>0</v>
      </c>
      <c r="G1181">
        <v>0.75</v>
      </c>
      <c r="H1181">
        <v>0</v>
      </c>
      <c r="I1181">
        <v>0</v>
      </c>
      <c r="J1181" t="s">
        <v>4754</v>
      </c>
      <c r="K1181">
        <v>4190</v>
      </c>
      <c r="L1181">
        <v>3970</v>
      </c>
      <c r="M1181">
        <v>-5.25</v>
      </c>
      <c r="N1181">
        <v>4.34</v>
      </c>
      <c r="O1181">
        <v>-13.36</v>
      </c>
      <c r="P1181">
        <v>-2.91</v>
      </c>
      <c r="Q1181">
        <v>8.99</v>
      </c>
      <c r="R1181">
        <v>0.96</v>
      </c>
      <c r="S1181">
        <v>3.18</v>
      </c>
      <c r="T1181">
        <v>5.14</v>
      </c>
      <c r="U1181">
        <v>1.23</v>
      </c>
      <c r="V1181">
        <v>3.11</v>
      </c>
      <c r="W1181">
        <v>2.98</v>
      </c>
      <c r="X1181">
        <v>3.39</v>
      </c>
      <c r="Y1181">
        <v>3.03</v>
      </c>
      <c r="Z1181">
        <v>0.84</v>
      </c>
      <c r="AA1181">
        <v>10.86</v>
      </c>
      <c r="AB1181">
        <v>0.94</v>
      </c>
      <c r="AC1181">
        <v>3.02</v>
      </c>
      <c r="AD1181">
        <v>0.28000000000000003</v>
      </c>
      <c r="AE1181">
        <v>1.05</v>
      </c>
      <c r="AF1181">
        <v>2.831666666666667</v>
      </c>
      <c r="AG1181" t="str">
        <f>HYPERLINK("https://finance.naver.com/item/fchart.naver?code=238090", "앤디포스 차트보기")</f>
        <v>앤디포스 차트보기</v>
      </c>
    </row>
    <row r="1182" spans="1:33" x14ac:dyDescent="0.3">
      <c r="A1182" t="s">
        <v>4755</v>
      </c>
      <c r="B1182" t="s">
        <v>55</v>
      </c>
      <c r="C1182" t="s">
        <v>4756</v>
      </c>
      <c r="D1182">
        <v>9235.76</v>
      </c>
      <c r="E1182" t="s">
        <v>4757</v>
      </c>
      <c r="F1182">
        <v>0</v>
      </c>
      <c r="G1182">
        <v>0.43999999761581421</v>
      </c>
      <c r="H1182">
        <v>0</v>
      </c>
      <c r="I1182">
        <v>3.190000057220459</v>
      </c>
      <c r="J1182" t="s">
        <v>4758</v>
      </c>
      <c r="K1182">
        <v>7110</v>
      </c>
      <c r="L1182">
        <v>6260</v>
      </c>
      <c r="M1182">
        <v>-11.95</v>
      </c>
      <c r="N1182">
        <v>-1.1100000000000001</v>
      </c>
      <c r="O1182">
        <v>0.16</v>
      </c>
      <c r="P1182">
        <v>3.06</v>
      </c>
      <c r="Q1182">
        <v>-5.89</v>
      </c>
      <c r="R1182">
        <v>-10.210000000000001</v>
      </c>
      <c r="S1182">
        <v>-15.4</v>
      </c>
      <c r="T1182">
        <v>0.8</v>
      </c>
      <c r="U1182">
        <v>1.1499999999999999</v>
      </c>
      <c r="V1182">
        <v>1.1599999999999999</v>
      </c>
      <c r="W1182">
        <v>2.84</v>
      </c>
      <c r="X1182">
        <v>1.65</v>
      </c>
      <c r="Y1182">
        <v>3.38</v>
      </c>
      <c r="Z1182">
        <v>1.39</v>
      </c>
      <c r="AA1182">
        <v>0.14000000000000001</v>
      </c>
      <c r="AB1182">
        <v>2.64</v>
      </c>
      <c r="AC1182">
        <v>2.0699999999999998</v>
      </c>
      <c r="AD1182">
        <v>6.19</v>
      </c>
      <c r="AE1182">
        <v>4.5599999999999996</v>
      </c>
      <c r="AF1182">
        <v>2.831666666666667</v>
      </c>
      <c r="AG1182" t="str">
        <f>HYPERLINK("https://finance.naver.com/item/fchart.naver?code=073110", "엘엠에스 차트보기")</f>
        <v>엘엠에스 차트보기</v>
      </c>
    </row>
    <row r="1183" spans="1:33" x14ac:dyDescent="0.3">
      <c r="A1183" t="s">
        <v>4759</v>
      </c>
      <c r="B1183" t="s">
        <v>55</v>
      </c>
      <c r="C1183" t="s">
        <v>4760</v>
      </c>
      <c r="D1183">
        <v>792386.14</v>
      </c>
      <c r="E1183" t="s">
        <v>4761</v>
      </c>
      <c r="F1183">
        <v>0</v>
      </c>
      <c r="G1183">
        <v>0.92000001668930054</v>
      </c>
      <c r="H1183">
        <v>0</v>
      </c>
      <c r="I1183">
        <v>0</v>
      </c>
      <c r="J1183" t="s">
        <v>4762</v>
      </c>
      <c r="K1183">
        <v>3820</v>
      </c>
      <c r="L1183">
        <v>1592</v>
      </c>
      <c r="M1183">
        <v>-58.32</v>
      </c>
      <c r="N1183">
        <v>19.52</v>
      </c>
      <c r="O1183">
        <v>0</v>
      </c>
      <c r="P1183">
        <v>13.06</v>
      </c>
      <c r="Q1183">
        <v>-44.17</v>
      </c>
      <c r="R1183">
        <v>-22.09</v>
      </c>
      <c r="S1183">
        <v>-8.59</v>
      </c>
      <c r="T1183">
        <v>5.41</v>
      </c>
      <c r="U1183">
        <v>3.15</v>
      </c>
      <c r="V1183">
        <v>6.78</v>
      </c>
      <c r="W1183">
        <v>8.7899999999999991</v>
      </c>
      <c r="X1183">
        <v>4.9000000000000004</v>
      </c>
      <c r="Y1183">
        <v>4.47</v>
      </c>
      <c r="Z1183">
        <v>3.61</v>
      </c>
      <c r="AA1183">
        <v>0</v>
      </c>
      <c r="AB1183">
        <v>1.93</v>
      </c>
      <c r="AC1183">
        <v>5.03</v>
      </c>
      <c r="AD1183">
        <v>4.51</v>
      </c>
      <c r="AE1183">
        <v>1.92</v>
      </c>
      <c r="AF1183">
        <v>2.833333333333333</v>
      </c>
      <c r="AG1183" t="str">
        <f>HYPERLINK("https://finance.naver.com/item/fchart.naver?code=069540", "빛과전자 차트보기")</f>
        <v>빛과전자 차트보기</v>
      </c>
    </row>
    <row r="1184" spans="1:33" x14ac:dyDescent="0.3">
      <c r="A1184" t="s">
        <v>4763</v>
      </c>
      <c r="B1184" t="s">
        <v>34</v>
      </c>
      <c r="C1184" t="s">
        <v>4764</v>
      </c>
      <c r="D1184">
        <v>54850.1</v>
      </c>
      <c r="E1184" t="s">
        <v>4765</v>
      </c>
      <c r="F1184">
        <v>0</v>
      </c>
      <c r="G1184">
        <v>1.4800000190734861</v>
      </c>
      <c r="H1184">
        <v>0</v>
      </c>
      <c r="I1184">
        <v>0</v>
      </c>
      <c r="J1184" t="s">
        <v>4766</v>
      </c>
      <c r="K1184">
        <v>1081</v>
      </c>
      <c r="L1184">
        <v>1160</v>
      </c>
      <c r="M1184">
        <v>7.31</v>
      </c>
      <c r="N1184">
        <v>9.9499999999999993</v>
      </c>
      <c r="O1184">
        <v>1.33</v>
      </c>
      <c r="P1184">
        <v>-1.96</v>
      </c>
      <c r="Q1184">
        <v>-9.83</v>
      </c>
      <c r="R1184">
        <v>-5.56</v>
      </c>
      <c r="S1184">
        <v>2.42</v>
      </c>
      <c r="T1184">
        <v>1.68</v>
      </c>
      <c r="U1184">
        <v>1.71</v>
      </c>
      <c r="V1184">
        <v>1.01</v>
      </c>
      <c r="W1184">
        <v>3.14</v>
      </c>
      <c r="X1184">
        <v>1.36</v>
      </c>
      <c r="Y1184">
        <v>2.12</v>
      </c>
      <c r="Z1184">
        <v>5.92</v>
      </c>
      <c r="AA1184">
        <v>0.78</v>
      </c>
      <c r="AB1184">
        <v>1.94</v>
      </c>
      <c r="AC1184">
        <v>3.13</v>
      </c>
      <c r="AD1184">
        <v>4.09</v>
      </c>
      <c r="AE1184">
        <v>1.1399999999999999</v>
      </c>
      <c r="AF1184">
        <v>2.833333333333333</v>
      </c>
      <c r="AG1184" t="str">
        <f>HYPERLINK("https://finance.naver.com/item/fchart.naver?code=002880", "대유에이텍 차트보기")</f>
        <v>대유에이텍 차트보기</v>
      </c>
    </row>
    <row r="1185" spans="1:33" x14ac:dyDescent="0.3">
      <c r="A1185" t="s">
        <v>4767</v>
      </c>
      <c r="B1185" t="s">
        <v>34</v>
      </c>
      <c r="C1185" t="s">
        <v>4768</v>
      </c>
      <c r="D1185">
        <v>797430.9</v>
      </c>
      <c r="E1185" t="s">
        <v>4769</v>
      </c>
      <c r="F1185">
        <v>4.62</v>
      </c>
      <c r="G1185">
        <v>0.60000002384185791</v>
      </c>
      <c r="H1185">
        <v>45703</v>
      </c>
      <c r="I1185">
        <v>5.4000000953674316</v>
      </c>
      <c r="J1185" t="s">
        <v>4770</v>
      </c>
      <c r="K1185">
        <v>247000</v>
      </c>
      <c r="L1185">
        <v>211000</v>
      </c>
      <c r="M1185">
        <v>-14.57</v>
      </c>
      <c r="N1185">
        <v>-1.17</v>
      </c>
      <c r="O1185">
        <v>-9.2799999999999994</v>
      </c>
      <c r="P1185">
        <v>-0.81</v>
      </c>
      <c r="Q1185">
        <v>0.79</v>
      </c>
      <c r="R1185">
        <v>-12.94</v>
      </c>
      <c r="S1185">
        <v>11.32</v>
      </c>
      <c r="T1185">
        <v>2.44</v>
      </c>
      <c r="U1185">
        <v>2.11</v>
      </c>
      <c r="V1185">
        <v>2.58</v>
      </c>
      <c r="W1185">
        <v>3.03</v>
      </c>
      <c r="X1185">
        <v>2.38</v>
      </c>
      <c r="Y1185">
        <v>1.85</v>
      </c>
      <c r="Z1185">
        <v>0.48</v>
      </c>
      <c r="AA1185">
        <v>4.4000000000000004</v>
      </c>
      <c r="AB1185">
        <v>0.31</v>
      </c>
      <c r="AC1185">
        <v>0.26</v>
      </c>
      <c r="AD1185">
        <v>5.44</v>
      </c>
      <c r="AE1185">
        <v>6.12</v>
      </c>
      <c r="AF1185">
        <v>2.835</v>
      </c>
      <c r="AG1185" t="str">
        <f>HYPERLINK("https://finance.naver.com/item/fchart.naver?code=005380", "현대차 차트보기")</f>
        <v>현대차 차트보기</v>
      </c>
    </row>
    <row r="1186" spans="1:33" x14ac:dyDescent="0.3">
      <c r="A1186" t="s">
        <v>4771</v>
      </c>
      <c r="B1186" t="s">
        <v>34</v>
      </c>
      <c r="C1186" t="s">
        <v>4772</v>
      </c>
      <c r="D1186">
        <v>1287802.1000000001</v>
      </c>
      <c r="E1186" t="s">
        <v>4773</v>
      </c>
      <c r="F1186">
        <v>4.97</v>
      </c>
      <c r="G1186">
        <v>0.30000001192092901</v>
      </c>
      <c r="H1186">
        <v>1905</v>
      </c>
      <c r="I1186">
        <v>5.3899998664855957</v>
      </c>
      <c r="J1186" t="s">
        <v>4774</v>
      </c>
      <c r="K1186">
        <v>8660</v>
      </c>
      <c r="L1186">
        <v>9460</v>
      </c>
      <c r="M1186">
        <v>9.24</v>
      </c>
      <c r="N1186">
        <v>-2.17</v>
      </c>
      <c r="O1186">
        <v>5.12</v>
      </c>
      <c r="P1186">
        <v>-8.9600000000000009</v>
      </c>
      <c r="Q1186">
        <v>5.5</v>
      </c>
      <c r="R1186">
        <v>13.47</v>
      </c>
      <c r="S1186">
        <v>0.47</v>
      </c>
      <c r="T1186">
        <v>2.4700000000000002</v>
      </c>
      <c r="U1186">
        <v>1.69</v>
      </c>
      <c r="V1186">
        <v>2.97</v>
      </c>
      <c r="W1186">
        <v>2.4700000000000002</v>
      </c>
      <c r="X1186">
        <v>1.81</v>
      </c>
      <c r="Y1186">
        <v>1.1299999999999999</v>
      </c>
      <c r="Z1186">
        <v>0.88</v>
      </c>
      <c r="AA1186">
        <v>3.03</v>
      </c>
      <c r="AB1186">
        <v>3.02</v>
      </c>
      <c r="AC1186">
        <v>2.23</v>
      </c>
      <c r="AD1186">
        <v>7.44</v>
      </c>
      <c r="AE1186">
        <v>0.42</v>
      </c>
      <c r="AF1186">
        <v>2.8366666666666669</v>
      </c>
      <c r="AG1186" t="str">
        <f>HYPERLINK("https://finance.naver.com/item/fchart.naver?code=138930", "BNK금융지주 차트보기")</f>
        <v>BNK금융지주 차트보기</v>
      </c>
    </row>
    <row r="1187" spans="1:33" x14ac:dyDescent="0.3">
      <c r="A1187" t="s">
        <v>4775</v>
      </c>
      <c r="B1187" t="s">
        <v>55</v>
      </c>
      <c r="C1187" t="s">
        <v>4776</v>
      </c>
      <c r="D1187">
        <v>937421.48</v>
      </c>
      <c r="E1187" t="s">
        <v>4777</v>
      </c>
      <c r="F1187">
        <v>13.52</v>
      </c>
      <c r="G1187">
        <v>0.89999997615814209</v>
      </c>
      <c r="H1187">
        <v>52</v>
      </c>
      <c r="I1187">
        <v>0</v>
      </c>
      <c r="J1187" t="s">
        <v>4778</v>
      </c>
      <c r="K1187">
        <v>865</v>
      </c>
      <c r="L1187">
        <v>703</v>
      </c>
      <c r="M1187">
        <v>-18.73</v>
      </c>
      <c r="N1187">
        <v>6.68</v>
      </c>
      <c r="O1187">
        <v>-4.72</v>
      </c>
      <c r="P1187">
        <v>0.93</v>
      </c>
      <c r="Q1187">
        <v>-9.16</v>
      </c>
      <c r="R1187">
        <v>-19.010000000000002</v>
      </c>
      <c r="S1187">
        <v>11.28</v>
      </c>
      <c r="T1187">
        <v>3.15</v>
      </c>
      <c r="U1187">
        <v>2.16</v>
      </c>
      <c r="V1187">
        <v>2.31</v>
      </c>
      <c r="W1187">
        <v>3.83</v>
      </c>
      <c r="X1187">
        <v>2.8</v>
      </c>
      <c r="Y1187">
        <v>3.59</v>
      </c>
      <c r="Z1187">
        <v>2.12</v>
      </c>
      <c r="AA1187">
        <v>2.19</v>
      </c>
      <c r="AB1187">
        <v>0.4</v>
      </c>
      <c r="AC1187">
        <v>2.39</v>
      </c>
      <c r="AD1187">
        <v>6.79</v>
      </c>
      <c r="AE1187">
        <v>3.14</v>
      </c>
      <c r="AF1187">
        <v>2.8383333333333329</v>
      </c>
      <c r="AG1187" t="str">
        <f>HYPERLINK("https://finance.naver.com/item/fchart.naver?code=019550", "SBI인베스트먼트 차트보기")</f>
        <v>SBI인베스트먼트 차트보기</v>
      </c>
    </row>
    <row r="1188" spans="1:33" x14ac:dyDescent="0.3">
      <c r="A1188" t="s">
        <v>4779</v>
      </c>
      <c r="B1188" t="s">
        <v>55</v>
      </c>
      <c r="C1188" t="s">
        <v>4780</v>
      </c>
      <c r="D1188">
        <v>65386.9</v>
      </c>
      <c r="E1188" t="s">
        <v>4781</v>
      </c>
      <c r="F1188">
        <v>23</v>
      </c>
      <c r="G1188">
        <v>4.0399999618530273</v>
      </c>
      <c r="H1188">
        <v>813</v>
      </c>
      <c r="I1188">
        <v>3.4200000762939449</v>
      </c>
      <c r="J1188" t="s">
        <v>4782</v>
      </c>
      <c r="K1188">
        <v>22000</v>
      </c>
      <c r="L1188">
        <v>18700</v>
      </c>
      <c r="M1188">
        <v>-15</v>
      </c>
      <c r="N1188">
        <v>14.37</v>
      </c>
      <c r="O1188">
        <v>-11.92</v>
      </c>
      <c r="P1188">
        <v>13.76</v>
      </c>
      <c r="Q1188">
        <v>-29.65</v>
      </c>
      <c r="R1188">
        <v>-3</v>
      </c>
      <c r="S1188">
        <v>-1.8</v>
      </c>
      <c r="T1188">
        <v>5.36</v>
      </c>
      <c r="U1188">
        <v>2.76</v>
      </c>
      <c r="V1188">
        <v>3.4</v>
      </c>
      <c r="W1188">
        <v>6.71</v>
      </c>
      <c r="X1188">
        <v>2.65</v>
      </c>
      <c r="Y1188">
        <v>3.97</v>
      </c>
      <c r="Z1188">
        <v>2.68</v>
      </c>
      <c r="AA1188">
        <v>4.32</v>
      </c>
      <c r="AB1188">
        <v>4.05</v>
      </c>
      <c r="AC1188">
        <v>4.42</v>
      </c>
      <c r="AD1188">
        <v>1.1299999999999999</v>
      </c>
      <c r="AE1188">
        <v>0.45</v>
      </c>
      <c r="AF1188">
        <v>2.8416666666666668</v>
      </c>
      <c r="AG1188" t="str">
        <f>HYPERLINK("https://finance.naver.com/item/fchart.naver?code=214370", "케어젠 차트보기")</f>
        <v>케어젠 차트보기</v>
      </c>
    </row>
    <row r="1189" spans="1:33" x14ac:dyDescent="0.3">
      <c r="A1189" t="s">
        <v>4783</v>
      </c>
      <c r="B1189" t="s">
        <v>55</v>
      </c>
      <c r="C1189" t="s">
        <v>4784</v>
      </c>
      <c r="D1189">
        <v>3373.43</v>
      </c>
      <c r="E1189" t="s">
        <v>4785</v>
      </c>
      <c r="F1189">
        <v>0</v>
      </c>
      <c r="G1189">
        <v>0</v>
      </c>
      <c r="H1189">
        <v>0</v>
      </c>
      <c r="I1189">
        <v>0</v>
      </c>
      <c r="J1189" t="s">
        <v>4786</v>
      </c>
      <c r="K1189">
        <v>2195</v>
      </c>
      <c r="L1189">
        <v>2140</v>
      </c>
      <c r="M1189">
        <v>-2.5099999999999998</v>
      </c>
      <c r="N1189">
        <v>-1.61</v>
      </c>
      <c r="O1189">
        <v>1.87</v>
      </c>
      <c r="P1189">
        <v>-1.86</v>
      </c>
      <c r="Q1189">
        <v>-1.37</v>
      </c>
      <c r="R1189">
        <v>0.23</v>
      </c>
      <c r="S1189">
        <v>-0.46</v>
      </c>
      <c r="T1189">
        <v>0.31</v>
      </c>
      <c r="U1189">
        <v>0.52</v>
      </c>
      <c r="V1189">
        <v>0.42</v>
      </c>
      <c r="W1189">
        <v>0.72</v>
      </c>
      <c r="X1189">
        <v>0.37</v>
      </c>
      <c r="Y1189">
        <v>0.35</v>
      </c>
      <c r="Z1189">
        <v>5.19</v>
      </c>
      <c r="AA1189">
        <v>3.6</v>
      </c>
      <c r="AB1189">
        <v>4.43</v>
      </c>
      <c r="AC1189">
        <v>1.9</v>
      </c>
      <c r="AD1189">
        <v>0.62</v>
      </c>
      <c r="AE1189">
        <v>1.31</v>
      </c>
      <c r="AF1189">
        <v>2.8416666666666668</v>
      </c>
      <c r="AG1189" t="str">
        <f>HYPERLINK("https://finance.naver.com/item/fchart.naver?code=465320", "교보15호스팩 차트보기")</f>
        <v>교보15호스팩 차트보기</v>
      </c>
    </row>
    <row r="1190" spans="1:33" x14ac:dyDescent="0.3">
      <c r="A1190" t="s">
        <v>4787</v>
      </c>
      <c r="B1190" t="s">
        <v>34</v>
      </c>
      <c r="C1190" t="s">
        <v>4788</v>
      </c>
      <c r="D1190">
        <v>666701</v>
      </c>
      <c r="E1190" t="s">
        <v>4789</v>
      </c>
      <c r="F1190">
        <v>0</v>
      </c>
      <c r="G1190">
        <v>0</v>
      </c>
      <c r="H1190">
        <v>0</v>
      </c>
      <c r="I1190">
        <v>0</v>
      </c>
      <c r="J1190" t="s">
        <v>4790</v>
      </c>
      <c r="K1190">
        <v>20501</v>
      </c>
      <c r="L1190">
        <v>14450</v>
      </c>
      <c r="M1190">
        <v>-29.52</v>
      </c>
      <c r="N1190">
        <v>-7.07</v>
      </c>
      <c r="O1190">
        <v>-13.39</v>
      </c>
      <c r="P1190">
        <v>11.46</v>
      </c>
      <c r="Q1190">
        <v>14.07</v>
      </c>
      <c r="R1190">
        <v>-12</v>
      </c>
      <c r="S1190">
        <v>-17.649999999999999</v>
      </c>
      <c r="T1190">
        <v>3.16</v>
      </c>
      <c r="U1190">
        <v>3.33</v>
      </c>
      <c r="V1190">
        <v>8.0299999999999994</v>
      </c>
      <c r="W1190">
        <v>6.66</v>
      </c>
      <c r="X1190">
        <v>5.25</v>
      </c>
      <c r="Y1190">
        <v>3.56</v>
      </c>
      <c r="Z1190">
        <v>2.2400000000000002</v>
      </c>
      <c r="AA1190">
        <v>4.0199999999999996</v>
      </c>
      <c r="AB1190">
        <v>1.43</v>
      </c>
      <c r="AC1190">
        <v>2.11</v>
      </c>
      <c r="AD1190">
        <v>2.29</v>
      </c>
      <c r="AE1190">
        <v>4.96</v>
      </c>
      <c r="AF1190">
        <v>2.8416666666666668</v>
      </c>
      <c r="AG1190" t="str">
        <f>HYPERLINK("https://finance.naver.com/item/fchart.naver?code=475150", "SK이터닉스 차트보기")</f>
        <v>SK이터닉스 차트보기</v>
      </c>
    </row>
    <row r="1191" spans="1:33" x14ac:dyDescent="0.3">
      <c r="A1191" t="s">
        <v>4791</v>
      </c>
      <c r="B1191" t="s">
        <v>34</v>
      </c>
      <c r="C1191" t="s">
        <v>4792</v>
      </c>
      <c r="D1191">
        <v>3631.19</v>
      </c>
      <c r="E1191" t="s">
        <v>4793</v>
      </c>
      <c r="F1191">
        <v>4.6100000000000003</v>
      </c>
      <c r="G1191">
        <v>0.2800000011920929</v>
      </c>
      <c r="H1191">
        <v>14478</v>
      </c>
      <c r="I1191">
        <v>3.7400000095367432</v>
      </c>
      <c r="J1191" t="s">
        <v>4794</v>
      </c>
      <c r="K1191">
        <v>67700</v>
      </c>
      <c r="L1191">
        <v>66800</v>
      </c>
      <c r="M1191">
        <v>-1.33</v>
      </c>
      <c r="N1191">
        <v>-0.45</v>
      </c>
      <c r="O1191">
        <v>1.96</v>
      </c>
      <c r="P1191">
        <v>-0.9</v>
      </c>
      <c r="Q1191">
        <v>-5.5</v>
      </c>
      <c r="R1191">
        <v>-6.23</v>
      </c>
      <c r="S1191">
        <v>5.36</v>
      </c>
      <c r="T1191">
        <v>0.96</v>
      </c>
      <c r="U1191">
        <v>0.77</v>
      </c>
      <c r="V1191">
        <v>0.63</v>
      </c>
      <c r="W1191">
        <v>1.56</v>
      </c>
      <c r="X1191">
        <v>1</v>
      </c>
      <c r="Y1191">
        <v>1.88</v>
      </c>
      <c r="Z1191">
        <v>0.47</v>
      </c>
      <c r="AA1191">
        <v>2.5499999999999998</v>
      </c>
      <c r="AB1191">
        <v>1.43</v>
      </c>
      <c r="AC1191">
        <v>3.53</v>
      </c>
      <c r="AD1191">
        <v>6.23</v>
      </c>
      <c r="AE1191">
        <v>2.85</v>
      </c>
      <c r="AF1191">
        <v>2.8433333333333328</v>
      </c>
      <c r="AG1191" t="str">
        <f>HYPERLINK("https://finance.naver.com/item/fchart.naver?code=072710", "농심홀딩스 차트보기")</f>
        <v>농심홀딩스 차트보기</v>
      </c>
    </row>
    <row r="1192" spans="1:33" x14ac:dyDescent="0.3">
      <c r="A1192" t="s">
        <v>4795</v>
      </c>
      <c r="B1192" t="s">
        <v>55</v>
      </c>
      <c r="C1192" t="s">
        <v>4796</v>
      </c>
      <c r="D1192">
        <v>4946.33</v>
      </c>
      <c r="E1192" t="s">
        <v>4797</v>
      </c>
      <c r="F1192">
        <v>0</v>
      </c>
      <c r="G1192">
        <v>0</v>
      </c>
      <c r="H1192">
        <v>0</v>
      </c>
      <c r="I1192">
        <v>0</v>
      </c>
      <c r="J1192" t="s">
        <v>4798</v>
      </c>
      <c r="K1192">
        <v>1958</v>
      </c>
      <c r="L1192">
        <v>1995</v>
      </c>
      <c r="M1192">
        <v>1.89</v>
      </c>
      <c r="N1192">
        <v>0.3</v>
      </c>
      <c r="O1192">
        <v>-0.25</v>
      </c>
      <c r="P1192">
        <v>-0.6</v>
      </c>
      <c r="Q1192">
        <v>-0.5</v>
      </c>
      <c r="R1192">
        <v>1.52</v>
      </c>
      <c r="S1192">
        <v>1.38</v>
      </c>
      <c r="T1192">
        <v>0.15</v>
      </c>
      <c r="U1192">
        <v>0.16</v>
      </c>
      <c r="V1192">
        <v>0.21</v>
      </c>
      <c r="W1192">
        <v>0.3</v>
      </c>
      <c r="X1192">
        <v>0.28999999999999998</v>
      </c>
      <c r="Y1192">
        <v>0.37</v>
      </c>
      <c r="Z1192">
        <v>2</v>
      </c>
      <c r="AA1192">
        <v>1.56</v>
      </c>
      <c r="AB1192">
        <v>2.86</v>
      </c>
      <c r="AC1192">
        <v>1.67</v>
      </c>
      <c r="AD1192">
        <v>5.24</v>
      </c>
      <c r="AE1192">
        <v>3.73</v>
      </c>
      <c r="AF1192">
        <v>2.8433333333333328</v>
      </c>
      <c r="AG1192" t="str">
        <f>HYPERLINK("https://finance.naver.com/item/fchart.naver?code=477340", "에이치엠씨제7호스팩 차트보기")</f>
        <v>에이치엠씨제7호스팩 차트보기</v>
      </c>
    </row>
    <row r="1193" spans="1:33" x14ac:dyDescent="0.3">
      <c r="A1193" t="s">
        <v>4799</v>
      </c>
      <c r="B1193" t="s">
        <v>34</v>
      </c>
      <c r="C1193" t="s">
        <v>4800</v>
      </c>
      <c r="D1193">
        <v>2134.29</v>
      </c>
      <c r="E1193" t="s">
        <v>4801</v>
      </c>
      <c r="F1193">
        <v>0</v>
      </c>
      <c r="G1193">
        <v>0</v>
      </c>
      <c r="H1193">
        <v>0</v>
      </c>
      <c r="I1193">
        <v>4.869999885559082</v>
      </c>
      <c r="J1193" t="s">
        <v>4802</v>
      </c>
      <c r="K1193">
        <v>28150</v>
      </c>
      <c r="L1193">
        <v>21550</v>
      </c>
      <c r="M1193">
        <v>-23.45</v>
      </c>
      <c r="N1193">
        <v>-8.8800000000000008</v>
      </c>
      <c r="O1193">
        <v>-3.51</v>
      </c>
      <c r="P1193">
        <v>-2.6</v>
      </c>
      <c r="Q1193">
        <v>-10.33</v>
      </c>
      <c r="R1193">
        <v>-1.27</v>
      </c>
      <c r="S1193">
        <v>2.41</v>
      </c>
      <c r="T1193">
        <v>1.18</v>
      </c>
      <c r="U1193">
        <v>1.44</v>
      </c>
      <c r="V1193">
        <v>2.81</v>
      </c>
      <c r="W1193">
        <v>2.59</v>
      </c>
      <c r="X1193">
        <v>1.19</v>
      </c>
      <c r="Y1193">
        <v>2.15</v>
      </c>
      <c r="Z1193">
        <v>7.53</v>
      </c>
      <c r="AA1193">
        <v>2.44</v>
      </c>
      <c r="AB1193">
        <v>0.93</v>
      </c>
      <c r="AC1193">
        <v>3.99</v>
      </c>
      <c r="AD1193">
        <v>1.07</v>
      </c>
      <c r="AE1193">
        <v>1.1200000000000001</v>
      </c>
      <c r="AF1193">
        <v>2.8466666666666671</v>
      </c>
      <c r="AG1193" t="str">
        <f>HYPERLINK("https://finance.naver.com/item/fchart.naver?code=000215", "DL우 차트보기")</f>
        <v>DL우 차트보기</v>
      </c>
    </row>
    <row r="1194" spans="1:33" x14ac:dyDescent="0.3">
      <c r="A1194" t="s">
        <v>4803</v>
      </c>
      <c r="B1194" t="s">
        <v>55</v>
      </c>
      <c r="C1194" t="s">
        <v>4804</v>
      </c>
      <c r="D1194">
        <v>6638587.9000000004</v>
      </c>
      <c r="E1194" t="s">
        <v>4805</v>
      </c>
      <c r="J1194" t="s">
        <v>4806</v>
      </c>
      <c r="K1194">
        <v>95</v>
      </c>
      <c r="L1194">
        <v>68</v>
      </c>
      <c r="M1194">
        <v>-28.42</v>
      </c>
      <c r="N1194">
        <v>-4.2300000000000004</v>
      </c>
      <c r="O1194">
        <v>0</v>
      </c>
      <c r="P1194">
        <v>-2.7</v>
      </c>
      <c r="Q1194">
        <v>-7.41</v>
      </c>
      <c r="R1194">
        <v>-7.87</v>
      </c>
      <c r="S1194">
        <v>-8.25</v>
      </c>
      <c r="T1194">
        <v>1.98</v>
      </c>
      <c r="U1194">
        <v>1.86</v>
      </c>
      <c r="V1194">
        <v>2.92</v>
      </c>
      <c r="W1194">
        <v>3.87</v>
      </c>
      <c r="X1194">
        <v>1.1399999999999999</v>
      </c>
      <c r="Y1194">
        <v>1.58</v>
      </c>
      <c r="Z1194">
        <v>2.14</v>
      </c>
      <c r="AA1194">
        <v>0</v>
      </c>
      <c r="AB1194">
        <v>0.92</v>
      </c>
      <c r="AC1194">
        <v>1.91</v>
      </c>
      <c r="AD1194">
        <v>6.9</v>
      </c>
      <c r="AE1194">
        <v>5.22</v>
      </c>
      <c r="AF1194">
        <v>2.8483333333333332</v>
      </c>
      <c r="AG1194" t="str">
        <f>HYPERLINK("https://finance.naver.com/item/fchart.naver?code=900110", "이스트아시아홀딩스 차트보기")</f>
        <v>이스트아시아홀딩스 차트보기</v>
      </c>
    </row>
    <row r="1195" spans="1:33" x14ac:dyDescent="0.3">
      <c r="A1195" t="s">
        <v>4807</v>
      </c>
      <c r="B1195" t="s">
        <v>34</v>
      </c>
      <c r="C1195" t="s">
        <v>4808</v>
      </c>
      <c r="D1195">
        <v>40086.86</v>
      </c>
      <c r="E1195" t="s">
        <v>4809</v>
      </c>
      <c r="J1195" t="s">
        <v>4810</v>
      </c>
      <c r="K1195">
        <v>3805</v>
      </c>
      <c r="L1195">
        <v>2575</v>
      </c>
      <c r="M1195">
        <v>-32.33</v>
      </c>
      <c r="N1195">
        <v>6.4</v>
      </c>
      <c r="O1195">
        <v>-5.74</v>
      </c>
      <c r="P1195">
        <v>-2.8</v>
      </c>
      <c r="Q1195">
        <v>-12.5</v>
      </c>
      <c r="R1195">
        <v>3.6</v>
      </c>
      <c r="S1195">
        <v>-10.01</v>
      </c>
      <c r="T1195">
        <v>2.6</v>
      </c>
      <c r="U1195">
        <v>2.0499999999999998</v>
      </c>
      <c r="V1195">
        <v>1.54</v>
      </c>
      <c r="W1195">
        <v>2.87</v>
      </c>
      <c r="X1195">
        <v>3.06</v>
      </c>
      <c r="Y1195">
        <v>2.2400000000000002</v>
      </c>
      <c r="Z1195">
        <v>2.46</v>
      </c>
      <c r="AA1195">
        <v>2.8</v>
      </c>
      <c r="AB1195">
        <v>1.82</v>
      </c>
      <c r="AC1195">
        <v>4.3600000000000003</v>
      </c>
      <c r="AD1195">
        <v>1.18</v>
      </c>
      <c r="AE1195">
        <v>4.47</v>
      </c>
      <c r="AF1195">
        <v>2.8483333333333332</v>
      </c>
      <c r="AG1195" t="str">
        <f>HYPERLINK("https://finance.naver.com/item/fchart.naver?code=204210", "스타에스엠리츠 차트보기")</f>
        <v>스타에스엠리츠 차트보기</v>
      </c>
    </row>
    <row r="1196" spans="1:33" x14ac:dyDescent="0.3">
      <c r="A1196" t="s">
        <v>4811</v>
      </c>
      <c r="B1196" t="s">
        <v>34</v>
      </c>
      <c r="C1196" t="s">
        <v>4812</v>
      </c>
      <c r="D1196">
        <v>151978.76</v>
      </c>
      <c r="E1196" t="s">
        <v>4813</v>
      </c>
      <c r="F1196">
        <v>16.97</v>
      </c>
      <c r="G1196">
        <v>0.43000000715255737</v>
      </c>
      <c r="H1196">
        <v>33</v>
      </c>
      <c r="I1196">
        <v>0</v>
      </c>
      <c r="J1196" t="s">
        <v>4814</v>
      </c>
      <c r="K1196">
        <v>702</v>
      </c>
      <c r="L1196">
        <v>560</v>
      </c>
      <c r="M1196">
        <v>-20.23</v>
      </c>
      <c r="N1196">
        <v>-1.75</v>
      </c>
      <c r="O1196">
        <v>-3.63</v>
      </c>
      <c r="P1196">
        <v>-2.5299999999999998</v>
      </c>
      <c r="Q1196">
        <v>-5.49</v>
      </c>
      <c r="R1196">
        <v>-3.91</v>
      </c>
      <c r="S1196">
        <v>-2.29</v>
      </c>
      <c r="T1196">
        <v>1.59</v>
      </c>
      <c r="U1196">
        <v>0.54</v>
      </c>
      <c r="V1196">
        <v>1.77</v>
      </c>
      <c r="W1196">
        <v>2.48</v>
      </c>
      <c r="X1196">
        <v>1.06</v>
      </c>
      <c r="Y1196">
        <v>1.17</v>
      </c>
      <c r="Z1196">
        <v>1.1000000000000001</v>
      </c>
      <c r="AA1196">
        <v>6.72</v>
      </c>
      <c r="AB1196">
        <v>1.43</v>
      </c>
      <c r="AC1196">
        <v>2.21</v>
      </c>
      <c r="AD1196">
        <v>3.69</v>
      </c>
      <c r="AE1196">
        <v>1.96</v>
      </c>
      <c r="AF1196">
        <v>2.851666666666667</v>
      </c>
      <c r="AG1196" t="str">
        <f>HYPERLINK("https://finance.naver.com/item/fchart.naver?code=031820", "콤텍시스템 차트보기")</f>
        <v>콤텍시스템 차트보기</v>
      </c>
    </row>
    <row r="1197" spans="1:33" x14ac:dyDescent="0.3">
      <c r="A1197" t="s">
        <v>4815</v>
      </c>
      <c r="B1197" t="s">
        <v>55</v>
      </c>
      <c r="C1197" t="s">
        <v>4816</v>
      </c>
      <c r="D1197">
        <v>396306.52</v>
      </c>
      <c r="E1197" t="s">
        <v>4817</v>
      </c>
      <c r="F1197">
        <v>55.38</v>
      </c>
      <c r="G1197">
        <v>0.69999998807907104</v>
      </c>
      <c r="H1197">
        <v>65</v>
      </c>
      <c r="I1197">
        <v>0</v>
      </c>
      <c r="J1197" t="s">
        <v>4818</v>
      </c>
      <c r="K1197">
        <v>4725</v>
      </c>
      <c r="L1197">
        <v>3600</v>
      </c>
      <c r="M1197">
        <v>-23.81</v>
      </c>
      <c r="N1197">
        <v>0.84</v>
      </c>
      <c r="O1197">
        <v>-3.13</v>
      </c>
      <c r="P1197">
        <v>-1.7</v>
      </c>
      <c r="Q1197">
        <v>10.09</v>
      </c>
      <c r="R1197">
        <v>-10.34</v>
      </c>
      <c r="S1197">
        <v>-12</v>
      </c>
      <c r="T1197">
        <v>2.2599999999999998</v>
      </c>
      <c r="U1197">
        <v>1.92</v>
      </c>
      <c r="V1197">
        <v>3.31</v>
      </c>
      <c r="W1197">
        <v>9.07</v>
      </c>
      <c r="X1197">
        <v>1.49</v>
      </c>
      <c r="Y1197">
        <v>1.83</v>
      </c>
      <c r="Z1197">
        <v>0.37</v>
      </c>
      <c r="AA1197">
        <v>1.63</v>
      </c>
      <c r="AB1197">
        <v>0.51</v>
      </c>
      <c r="AC1197">
        <v>1.1100000000000001</v>
      </c>
      <c r="AD1197">
        <v>6.94</v>
      </c>
      <c r="AE1197">
        <v>6.56</v>
      </c>
      <c r="AF1197">
        <v>2.8533333333333331</v>
      </c>
      <c r="AG1197" t="str">
        <f>HYPERLINK("https://finance.naver.com/item/fchart.naver?code=053290", "NE능률 차트보기")</f>
        <v>NE능률 차트보기</v>
      </c>
    </row>
    <row r="1198" spans="1:33" x14ac:dyDescent="0.3">
      <c r="A1198" t="s">
        <v>4819</v>
      </c>
      <c r="B1198" t="s">
        <v>55</v>
      </c>
      <c r="C1198" t="s">
        <v>4820</v>
      </c>
      <c r="D1198">
        <v>598501.14</v>
      </c>
      <c r="E1198" t="s">
        <v>4821</v>
      </c>
      <c r="F1198">
        <v>9.39</v>
      </c>
      <c r="G1198">
        <v>1.8999999761581421</v>
      </c>
      <c r="H1198">
        <v>148</v>
      </c>
      <c r="I1198">
        <v>0</v>
      </c>
      <c r="J1198" t="s">
        <v>4822</v>
      </c>
      <c r="K1198">
        <v>1325</v>
      </c>
      <c r="L1198">
        <v>1389</v>
      </c>
      <c r="M1198">
        <v>4.83</v>
      </c>
      <c r="N1198">
        <v>4.4400000000000004</v>
      </c>
      <c r="O1198">
        <v>-12.12</v>
      </c>
      <c r="P1198">
        <v>-11.14</v>
      </c>
      <c r="Q1198">
        <v>11.15</v>
      </c>
      <c r="R1198">
        <v>-2.44</v>
      </c>
      <c r="S1198">
        <v>39.729999999999997</v>
      </c>
      <c r="T1198">
        <v>3.44</v>
      </c>
      <c r="U1198">
        <v>2.1</v>
      </c>
      <c r="V1198">
        <v>3.58</v>
      </c>
      <c r="W1198">
        <v>6.94</v>
      </c>
      <c r="X1198">
        <v>2.93</v>
      </c>
      <c r="Y1198">
        <v>8.7799999999999994</v>
      </c>
      <c r="Z1198">
        <v>1.29</v>
      </c>
      <c r="AA1198">
        <v>5.77</v>
      </c>
      <c r="AB1198">
        <v>3.11</v>
      </c>
      <c r="AC1198">
        <v>1.61</v>
      </c>
      <c r="AD1198">
        <v>0.83</v>
      </c>
      <c r="AE1198">
        <v>4.53</v>
      </c>
      <c r="AF1198">
        <v>2.8566666666666669</v>
      </c>
      <c r="AG1198" t="str">
        <f>HYPERLINK("https://finance.naver.com/item/fchart.naver?code=336060", "웨이버스 차트보기")</f>
        <v>웨이버스 차트보기</v>
      </c>
    </row>
    <row r="1199" spans="1:33" x14ac:dyDescent="0.3">
      <c r="A1199" t="s">
        <v>4823</v>
      </c>
      <c r="B1199" t="s">
        <v>55</v>
      </c>
      <c r="C1199" t="s">
        <v>4824</v>
      </c>
      <c r="D1199">
        <v>124751</v>
      </c>
      <c r="E1199" t="s">
        <v>4825</v>
      </c>
      <c r="F1199">
        <v>42.93</v>
      </c>
      <c r="G1199">
        <v>0.87999999523162842</v>
      </c>
      <c r="H1199">
        <v>58</v>
      </c>
      <c r="I1199">
        <v>0</v>
      </c>
      <c r="J1199" t="s">
        <v>4826</v>
      </c>
      <c r="K1199">
        <v>3630</v>
      </c>
      <c r="L1199">
        <v>2490</v>
      </c>
      <c r="M1199">
        <v>-31.4</v>
      </c>
      <c r="N1199">
        <v>-2.73</v>
      </c>
      <c r="O1199">
        <v>-5.21</v>
      </c>
      <c r="P1199">
        <v>-4.54</v>
      </c>
      <c r="Q1199">
        <v>-9.7200000000000006</v>
      </c>
      <c r="R1199">
        <v>-13.91</v>
      </c>
      <c r="S1199">
        <v>-10.17</v>
      </c>
      <c r="T1199">
        <v>2.44</v>
      </c>
      <c r="U1199">
        <v>1.89</v>
      </c>
      <c r="V1199">
        <v>3.55</v>
      </c>
      <c r="W1199">
        <v>3.91</v>
      </c>
      <c r="X1199">
        <v>2.17</v>
      </c>
      <c r="Y1199">
        <v>3.29</v>
      </c>
      <c r="Z1199">
        <v>1.1200000000000001</v>
      </c>
      <c r="AA1199">
        <v>2.76</v>
      </c>
      <c r="AB1199">
        <v>1.28</v>
      </c>
      <c r="AC1199">
        <v>2.4900000000000002</v>
      </c>
      <c r="AD1199">
        <v>6.41</v>
      </c>
      <c r="AE1199">
        <v>3.09</v>
      </c>
      <c r="AF1199">
        <v>2.8583333333333329</v>
      </c>
      <c r="AG1199" t="str">
        <f>HYPERLINK("https://finance.naver.com/item/fchart.naver?code=027050", "코리아나 차트보기")</f>
        <v>코리아나 차트보기</v>
      </c>
    </row>
    <row r="1200" spans="1:33" x14ac:dyDescent="0.3">
      <c r="A1200" t="s">
        <v>4827</v>
      </c>
      <c r="B1200" t="s">
        <v>55</v>
      </c>
      <c r="C1200" t="s">
        <v>4828</v>
      </c>
      <c r="D1200">
        <v>36507.379999999997</v>
      </c>
      <c r="E1200" t="s">
        <v>4829</v>
      </c>
      <c r="F1200">
        <v>3.58</v>
      </c>
      <c r="G1200">
        <v>0.31000000238418579</v>
      </c>
      <c r="H1200">
        <v>248</v>
      </c>
      <c r="I1200">
        <v>0</v>
      </c>
      <c r="J1200" t="s">
        <v>4830</v>
      </c>
      <c r="K1200">
        <v>1065</v>
      </c>
      <c r="L1200">
        <v>887</v>
      </c>
      <c r="M1200">
        <v>-16.71</v>
      </c>
      <c r="N1200">
        <v>2.31</v>
      </c>
      <c r="O1200">
        <v>-4.5199999999999996</v>
      </c>
      <c r="P1200">
        <v>0.44</v>
      </c>
      <c r="Q1200">
        <v>-3.67</v>
      </c>
      <c r="R1200">
        <v>-6.87</v>
      </c>
      <c r="S1200">
        <v>-7.02</v>
      </c>
      <c r="T1200">
        <v>1.47</v>
      </c>
      <c r="U1200">
        <v>1.49</v>
      </c>
      <c r="V1200">
        <v>1.39</v>
      </c>
      <c r="W1200">
        <v>2.93</v>
      </c>
      <c r="X1200">
        <v>1.51</v>
      </c>
      <c r="Y1200">
        <v>1.0900000000000001</v>
      </c>
      <c r="Z1200">
        <v>1.57</v>
      </c>
      <c r="AA1200">
        <v>3.03</v>
      </c>
      <c r="AB1200">
        <v>0.32</v>
      </c>
      <c r="AC1200">
        <v>1.25</v>
      </c>
      <c r="AD1200">
        <v>4.55</v>
      </c>
      <c r="AE1200">
        <v>6.44</v>
      </c>
      <c r="AF1200">
        <v>2.86</v>
      </c>
      <c r="AG1200" t="str">
        <f>HYPERLINK("https://finance.naver.com/item/fchart.naver?code=225590", "패션플랫폼 차트보기")</f>
        <v>패션플랫폼 차트보기</v>
      </c>
    </row>
    <row r="1201" spans="1:33" x14ac:dyDescent="0.3">
      <c r="A1201" t="s">
        <v>4831</v>
      </c>
      <c r="B1201" t="s">
        <v>55</v>
      </c>
      <c r="C1201" t="s">
        <v>4832</v>
      </c>
      <c r="D1201">
        <v>440410.95</v>
      </c>
      <c r="E1201" t="s">
        <v>4833</v>
      </c>
      <c r="F1201">
        <v>14.05</v>
      </c>
      <c r="G1201">
        <v>6.3600001335144043</v>
      </c>
      <c r="H1201">
        <v>1452</v>
      </c>
      <c r="I1201">
        <v>0.34000000357627869</v>
      </c>
      <c r="J1201" t="s">
        <v>4834</v>
      </c>
      <c r="K1201">
        <v>20850</v>
      </c>
      <c r="L1201">
        <v>20400</v>
      </c>
      <c r="M1201">
        <v>-2.16</v>
      </c>
      <c r="N1201">
        <v>-4</v>
      </c>
      <c r="O1201">
        <v>16</v>
      </c>
      <c r="P1201">
        <v>9.1</v>
      </c>
      <c r="Q1201">
        <v>-3.39</v>
      </c>
      <c r="R1201">
        <v>5.26</v>
      </c>
      <c r="S1201">
        <v>-5.57</v>
      </c>
      <c r="T1201">
        <v>1.38</v>
      </c>
      <c r="U1201">
        <v>3.76</v>
      </c>
      <c r="V1201">
        <v>2.2599999999999998</v>
      </c>
      <c r="W1201">
        <v>2.59</v>
      </c>
      <c r="X1201">
        <v>3.71</v>
      </c>
      <c r="Y1201">
        <v>1.72</v>
      </c>
      <c r="Z1201">
        <v>2.9</v>
      </c>
      <c r="AA1201">
        <v>4.26</v>
      </c>
      <c r="AB1201">
        <v>4.03</v>
      </c>
      <c r="AC1201">
        <v>1.31</v>
      </c>
      <c r="AD1201">
        <v>1.42</v>
      </c>
      <c r="AE1201">
        <v>3.24</v>
      </c>
      <c r="AF1201">
        <v>2.8600000000000012</v>
      </c>
      <c r="AG1201" t="str">
        <f>HYPERLINK("https://finance.naver.com/item/fchart.naver?code=094170", "동운아나텍 차트보기")</f>
        <v>동운아나텍 차트보기</v>
      </c>
    </row>
    <row r="1202" spans="1:33" x14ac:dyDescent="0.3">
      <c r="A1202" t="s">
        <v>4835</v>
      </c>
      <c r="B1202" t="s">
        <v>55</v>
      </c>
      <c r="C1202" t="s">
        <v>4836</v>
      </c>
      <c r="D1202">
        <v>893776.1</v>
      </c>
      <c r="E1202" t="s">
        <v>4837</v>
      </c>
      <c r="F1202">
        <v>6.6</v>
      </c>
      <c r="G1202">
        <v>1.9800000190734861</v>
      </c>
      <c r="H1202">
        <v>2060</v>
      </c>
      <c r="I1202">
        <v>0</v>
      </c>
      <c r="J1202" t="s">
        <v>4838</v>
      </c>
      <c r="K1202">
        <v>20350</v>
      </c>
      <c r="L1202">
        <v>13600</v>
      </c>
      <c r="M1202">
        <v>-33.17</v>
      </c>
      <c r="N1202">
        <v>-1.66</v>
      </c>
      <c r="O1202">
        <v>-5.88</v>
      </c>
      <c r="P1202">
        <v>-7.64</v>
      </c>
      <c r="Q1202">
        <v>-6.03</v>
      </c>
      <c r="R1202">
        <v>-5.08</v>
      </c>
      <c r="S1202">
        <v>-13.12</v>
      </c>
      <c r="T1202">
        <v>1.96</v>
      </c>
      <c r="U1202">
        <v>6.98</v>
      </c>
      <c r="V1202">
        <v>2.75</v>
      </c>
      <c r="W1202">
        <v>4.82</v>
      </c>
      <c r="X1202">
        <v>1.64</v>
      </c>
      <c r="Y1202">
        <v>1.57</v>
      </c>
      <c r="Z1202">
        <v>0.85</v>
      </c>
      <c r="AA1202">
        <v>0.84</v>
      </c>
      <c r="AB1202">
        <v>2.78</v>
      </c>
      <c r="AC1202">
        <v>1.25</v>
      </c>
      <c r="AD1202">
        <v>3.1</v>
      </c>
      <c r="AE1202">
        <v>8.36</v>
      </c>
      <c r="AF1202">
        <v>2.8633333333333328</v>
      </c>
      <c r="AG1202" t="str">
        <f>HYPERLINK("https://finance.naver.com/item/fchart.naver?code=418470", "밀리의서재 차트보기")</f>
        <v>밀리의서재 차트보기</v>
      </c>
    </row>
    <row r="1203" spans="1:33" x14ac:dyDescent="0.3">
      <c r="A1203" t="s">
        <v>4839</v>
      </c>
      <c r="B1203" t="s">
        <v>34</v>
      </c>
      <c r="C1203" t="s">
        <v>4840</v>
      </c>
      <c r="D1203">
        <v>162920.67000000001</v>
      </c>
      <c r="E1203" t="s">
        <v>4841</v>
      </c>
      <c r="F1203">
        <v>0</v>
      </c>
      <c r="G1203">
        <v>0.38999998569488531</v>
      </c>
      <c r="H1203">
        <v>0</v>
      </c>
      <c r="I1203">
        <v>0</v>
      </c>
      <c r="J1203" t="s">
        <v>4842</v>
      </c>
      <c r="K1203">
        <v>21050</v>
      </c>
      <c r="L1203">
        <v>12770</v>
      </c>
      <c r="M1203">
        <v>-39.33</v>
      </c>
      <c r="N1203">
        <v>-1.69</v>
      </c>
      <c r="O1203">
        <v>-5.67</v>
      </c>
      <c r="P1203">
        <v>1.89</v>
      </c>
      <c r="Q1203">
        <v>-10.71</v>
      </c>
      <c r="R1203">
        <v>-8.7100000000000009</v>
      </c>
      <c r="S1203">
        <v>-18.399999999999999</v>
      </c>
      <c r="T1203">
        <v>2.6</v>
      </c>
      <c r="U1203">
        <v>2.98</v>
      </c>
      <c r="V1203">
        <v>2.68</v>
      </c>
      <c r="W1203">
        <v>4.37</v>
      </c>
      <c r="X1203">
        <v>2.15</v>
      </c>
      <c r="Y1203">
        <v>2.48</v>
      </c>
      <c r="Z1203">
        <v>0.65</v>
      </c>
      <c r="AA1203">
        <v>1.9</v>
      </c>
      <c r="AB1203">
        <v>0.71</v>
      </c>
      <c r="AC1203">
        <v>2.4500000000000002</v>
      </c>
      <c r="AD1203">
        <v>4.05</v>
      </c>
      <c r="AE1203">
        <v>7.42</v>
      </c>
      <c r="AF1203">
        <v>2.8633333333333328</v>
      </c>
      <c r="AG1203" t="str">
        <f>HYPERLINK("https://finance.naver.com/item/fchart.naver?code=004560", "현대비앤지스틸 차트보기")</f>
        <v>현대비앤지스틸 차트보기</v>
      </c>
    </row>
    <row r="1204" spans="1:33" x14ac:dyDescent="0.3">
      <c r="A1204" t="s">
        <v>4843</v>
      </c>
      <c r="B1204" t="s">
        <v>55</v>
      </c>
      <c r="C1204" t="s">
        <v>4844</v>
      </c>
      <c r="D1204">
        <v>3022236.19</v>
      </c>
      <c r="E1204" t="s">
        <v>4845</v>
      </c>
      <c r="F1204">
        <v>0</v>
      </c>
      <c r="G1204">
        <v>5.1999998092651367</v>
      </c>
      <c r="H1204">
        <v>0</v>
      </c>
      <c r="I1204">
        <v>0</v>
      </c>
      <c r="J1204" t="s">
        <v>4846</v>
      </c>
      <c r="K1204">
        <v>1675</v>
      </c>
      <c r="L1204">
        <v>2730</v>
      </c>
      <c r="M1204">
        <v>62.99</v>
      </c>
      <c r="N1204">
        <v>8.5500000000000007</v>
      </c>
      <c r="O1204">
        <v>-31.77</v>
      </c>
      <c r="P1204">
        <v>94.92</v>
      </c>
      <c r="Q1204">
        <v>-9.98</v>
      </c>
      <c r="R1204">
        <v>14.36</v>
      </c>
      <c r="S1204">
        <v>-2.59</v>
      </c>
      <c r="T1204">
        <v>13.72</v>
      </c>
      <c r="U1204">
        <v>8.4600000000000009</v>
      </c>
      <c r="V1204">
        <v>14</v>
      </c>
      <c r="W1204">
        <v>4.99</v>
      </c>
      <c r="X1204">
        <v>4.12</v>
      </c>
      <c r="Y1204">
        <v>4.9000000000000004</v>
      </c>
      <c r="Z1204">
        <v>0.62</v>
      </c>
      <c r="AA1204">
        <v>3.76</v>
      </c>
      <c r="AB1204">
        <v>6.78</v>
      </c>
      <c r="AC1204">
        <v>2</v>
      </c>
      <c r="AD1204">
        <v>3.49</v>
      </c>
      <c r="AE1204">
        <v>0.53</v>
      </c>
      <c r="AF1204">
        <v>2.8633333333333328</v>
      </c>
      <c r="AG1204" t="str">
        <f>HYPERLINK("https://finance.naver.com/item/fchart.naver?code=049180", "셀루메드 차트보기")</f>
        <v>셀루메드 차트보기</v>
      </c>
    </row>
    <row r="1205" spans="1:33" x14ac:dyDescent="0.3">
      <c r="A1205" t="s">
        <v>4847</v>
      </c>
      <c r="B1205" t="s">
        <v>55</v>
      </c>
      <c r="C1205" t="s">
        <v>4848</v>
      </c>
      <c r="D1205">
        <v>612895.48</v>
      </c>
      <c r="E1205" t="s">
        <v>4849</v>
      </c>
      <c r="F1205">
        <v>0</v>
      </c>
      <c r="G1205">
        <v>1.0199999809265139</v>
      </c>
      <c r="H1205">
        <v>0</v>
      </c>
      <c r="I1205">
        <v>0</v>
      </c>
      <c r="J1205" t="s">
        <v>4850</v>
      </c>
      <c r="K1205">
        <v>7250</v>
      </c>
      <c r="L1205">
        <v>6040</v>
      </c>
      <c r="M1205">
        <v>-16.690000000000001</v>
      </c>
      <c r="N1205">
        <v>0.67</v>
      </c>
      <c r="O1205">
        <v>8.1300000000000008</v>
      </c>
      <c r="P1205">
        <v>-4.54</v>
      </c>
      <c r="Q1205">
        <v>-15.12</v>
      </c>
      <c r="R1205">
        <v>5.52</v>
      </c>
      <c r="S1205">
        <v>-9.0299999999999994</v>
      </c>
      <c r="T1205">
        <v>2.44</v>
      </c>
      <c r="U1205">
        <v>4.5</v>
      </c>
      <c r="V1205">
        <v>1.71</v>
      </c>
      <c r="W1205">
        <v>3.06</v>
      </c>
      <c r="X1205">
        <v>4.0199999999999996</v>
      </c>
      <c r="Y1205">
        <v>1.47</v>
      </c>
      <c r="Z1205">
        <v>0.27</v>
      </c>
      <c r="AA1205">
        <v>1.81</v>
      </c>
      <c r="AB1205">
        <v>2.65</v>
      </c>
      <c r="AC1205">
        <v>4.9400000000000004</v>
      </c>
      <c r="AD1205">
        <v>1.37</v>
      </c>
      <c r="AE1205">
        <v>6.14</v>
      </c>
      <c r="AF1205">
        <v>2.8633333333333342</v>
      </c>
      <c r="AG1205" t="str">
        <f>HYPERLINK("https://finance.naver.com/item/fchart.naver?code=026150", "특수건설 차트보기")</f>
        <v>특수건설 차트보기</v>
      </c>
    </row>
    <row r="1206" spans="1:33" x14ac:dyDescent="0.3">
      <c r="A1206" t="s">
        <v>4851</v>
      </c>
      <c r="B1206" t="s">
        <v>55</v>
      </c>
      <c r="C1206" t="s">
        <v>4852</v>
      </c>
      <c r="D1206">
        <v>41752.9</v>
      </c>
      <c r="E1206" t="s">
        <v>4853</v>
      </c>
      <c r="F1206">
        <v>13.66</v>
      </c>
      <c r="G1206">
        <v>0.94999998807907104</v>
      </c>
      <c r="H1206">
        <v>172</v>
      </c>
      <c r="I1206">
        <v>4.2600002288818359</v>
      </c>
      <c r="J1206" t="s">
        <v>4854</v>
      </c>
      <c r="K1206">
        <v>3070</v>
      </c>
      <c r="L1206">
        <v>2350</v>
      </c>
      <c r="M1206">
        <v>-23.45</v>
      </c>
      <c r="N1206">
        <v>8.0500000000000007</v>
      </c>
      <c r="O1206">
        <v>-5.07</v>
      </c>
      <c r="P1206">
        <v>1.71</v>
      </c>
      <c r="Q1206">
        <v>-2.74</v>
      </c>
      <c r="R1206">
        <v>-10.92</v>
      </c>
      <c r="S1206">
        <v>-6.87</v>
      </c>
      <c r="T1206">
        <v>2.38</v>
      </c>
      <c r="U1206">
        <v>1.89</v>
      </c>
      <c r="V1206">
        <v>3.15</v>
      </c>
      <c r="W1206">
        <v>5.97</v>
      </c>
      <c r="X1206">
        <v>2.12</v>
      </c>
      <c r="Y1206">
        <v>1.38</v>
      </c>
      <c r="Z1206">
        <v>3.38</v>
      </c>
      <c r="AA1206">
        <v>2.68</v>
      </c>
      <c r="AB1206">
        <v>0.54</v>
      </c>
      <c r="AC1206">
        <v>0.46</v>
      </c>
      <c r="AD1206">
        <v>5.15</v>
      </c>
      <c r="AE1206">
        <v>4.9800000000000004</v>
      </c>
      <c r="AF1206">
        <v>2.8650000000000002</v>
      </c>
      <c r="AG1206" t="str">
        <f>HYPERLINK("https://finance.naver.com/item/fchart.naver?code=262840", "아이퀘스트 차트보기")</f>
        <v>아이퀘스트 차트보기</v>
      </c>
    </row>
    <row r="1207" spans="1:33" x14ac:dyDescent="0.3">
      <c r="A1207" t="s">
        <v>4855</v>
      </c>
      <c r="B1207" t="s">
        <v>55</v>
      </c>
      <c r="C1207" t="s">
        <v>4856</v>
      </c>
      <c r="D1207">
        <v>53732.38</v>
      </c>
      <c r="E1207" t="s">
        <v>4857</v>
      </c>
      <c r="F1207">
        <v>45.65</v>
      </c>
      <c r="G1207">
        <v>2.6800000667572021</v>
      </c>
      <c r="H1207">
        <v>23</v>
      </c>
      <c r="I1207">
        <v>0</v>
      </c>
      <c r="J1207" t="s">
        <v>4858</v>
      </c>
      <c r="K1207">
        <v>1714</v>
      </c>
      <c r="L1207">
        <v>1050</v>
      </c>
      <c r="M1207">
        <v>-38.74</v>
      </c>
      <c r="N1207">
        <v>3.14</v>
      </c>
      <c r="O1207">
        <v>0.48</v>
      </c>
      <c r="P1207">
        <v>-6.38</v>
      </c>
      <c r="Q1207">
        <v>-9.84</v>
      </c>
      <c r="R1207">
        <v>-13.01</v>
      </c>
      <c r="S1207">
        <v>-5.39</v>
      </c>
      <c r="T1207">
        <v>1.63</v>
      </c>
      <c r="U1207">
        <v>1.21</v>
      </c>
      <c r="V1207">
        <v>2.68</v>
      </c>
      <c r="W1207">
        <v>4.5999999999999996</v>
      </c>
      <c r="X1207">
        <v>1.76</v>
      </c>
      <c r="Y1207">
        <v>1.82</v>
      </c>
      <c r="Z1207">
        <v>1.93</v>
      </c>
      <c r="AA1207">
        <v>0.4</v>
      </c>
      <c r="AB1207">
        <v>2.38</v>
      </c>
      <c r="AC1207">
        <v>2.14</v>
      </c>
      <c r="AD1207">
        <v>7.39</v>
      </c>
      <c r="AE1207">
        <v>2.96</v>
      </c>
      <c r="AF1207">
        <v>2.8666666666666671</v>
      </c>
      <c r="AG1207" t="str">
        <f>HYPERLINK("https://finance.naver.com/item/fchart.naver?code=148780", "비큐AI 차트보기")</f>
        <v>비큐AI 차트보기</v>
      </c>
    </row>
    <row r="1208" spans="1:33" x14ac:dyDescent="0.3">
      <c r="A1208" t="s">
        <v>4859</v>
      </c>
      <c r="B1208" t="s">
        <v>55</v>
      </c>
      <c r="C1208" t="s">
        <v>4860</v>
      </c>
      <c r="D1208">
        <v>34580.050000000003</v>
      </c>
      <c r="E1208" t="s">
        <v>4861</v>
      </c>
      <c r="F1208">
        <v>9.81</v>
      </c>
      <c r="G1208">
        <v>1.029999971389771</v>
      </c>
      <c r="H1208">
        <v>620</v>
      </c>
      <c r="I1208">
        <v>0.99000000953674316</v>
      </c>
      <c r="J1208" t="s">
        <v>4862</v>
      </c>
      <c r="K1208">
        <v>7260</v>
      </c>
      <c r="L1208">
        <v>6080</v>
      </c>
      <c r="M1208">
        <v>-16.25</v>
      </c>
      <c r="N1208">
        <v>-9.1199999999999992</v>
      </c>
      <c r="O1208">
        <v>9.02</v>
      </c>
      <c r="P1208">
        <v>-0.92</v>
      </c>
      <c r="Q1208">
        <v>-3.38</v>
      </c>
      <c r="R1208">
        <v>1.49</v>
      </c>
      <c r="S1208">
        <v>-4.34</v>
      </c>
      <c r="T1208">
        <v>1.35</v>
      </c>
      <c r="U1208">
        <v>2.0099999999999998</v>
      </c>
      <c r="V1208">
        <v>1.93</v>
      </c>
      <c r="W1208">
        <v>2.67</v>
      </c>
      <c r="X1208">
        <v>1.22</v>
      </c>
      <c r="Y1208">
        <v>1.44</v>
      </c>
      <c r="Z1208">
        <v>6.76</v>
      </c>
      <c r="AA1208">
        <v>4.49</v>
      </c>
      <c r="AB1208">
        <v>0.48</v>
      </c>
      <c r="AC1208">
        <v>1.27</v>
      </c>
      <c r="AD1208">
        <v>1.22</v>
      </c>
      <c r="AE1208">
        <v>3.01</v>
      </c>
      <c r="AF1208">
        <v>2.871666666666667</v>
      </c>
      <c r="AG1208" t="str">
        <f>HYPERLINK("https://finance.naver.com/item/fchart.naver?code=099390", "브레인즈컴퍼니 차트보기")</f>
        <v>브레인즈컴퍼니 차트보기</v>
      </c>
    </row>
    <row r="1209" spans="1:33" x14ac:dyDescent="0.3">
      <c r="A1209" t="s">
        <v>4863</v>
      </c>
      <c r="B1209" t="s">
        <v>55</v>
      </c>
      <c r="C1209" t="s">
        <v>4864</v>
      </c>
      <c r="D1209">
        <v>115468.62</v>
      </c>
      <c r="E1209" t="s">
        <v>4865</v>
      </c>
      <c r="F1209">
        <v>6.57</v>
      </c>
      <c r="G1209">
        <v>0.60000002384185791</v>
      </c>
      <c r="H1209">
        <v>1199</v>
      </c>
      <c r="I1209">
        <v>3.1700000762939449</v>
      </c>
      <c r="J1209" t="s">
        <v>4866</v>
      </c>
      <c r="K1209">
        <v>8660</v>
      </c>
      <c r="L1209">
        <v>7880</v>
      </c>
      <c r="M1209">
        <v>-9.01</v>
      </c>
      <c r="N1209">
        <v>10.67</v>
      </c>
      <c r="O1209">
        <v>-9.81</v>
      </c>
      <c r="P1209">
        <v>-4.58</v>
      </c>
      <c r="Q1209">
        <v>-7.73</v>
      </c>
      <c r="R1209">
        <v>-2.0299999999999998</v>
      </c>
      <c r="S1209">
        <v>-10.94</v>
      </c>
      <c r="T1209">
        <v>2.34</v>
      </c>
      <c r="U1209">
        <v>1.32</v>
      </c>
      <c r="V1209">
        <v>2.61</v>
      </c>
      <c r="W1209">
        <v>5.35</v>
      </c>
      <c r="X1209">
        <v>2.97</v>
      </c>
      <c r="Y1209">
        <v>7.91</v>
      </c>
      <c r="Z1209">
        <v>4.5599999999999996</v>
      </c>
      <c r="AA1209">
        <v>7.43</v>
      </c>
      <c r="AB1209">
        <v>1.75</v>
      </c>
      <c r="AC1209">
        <v>1.44</v>
      </c>
      <c r="AD1209">
        <v>0.68</v>
      </c>
      <c r="AE1209">
        <v>1.38</v>
      </c>
      <c r="AF1209">
        <v>2.8733333333333331</v>
      </c>
      <c r="AG1209" t="str">
        <f>HYPERLINK("https://finance.naver.com/item/fchart.naver?code=105740", "디케이락 차트보기")</f>
        <v>디케이락 차트보기</v>
      </c>
    </row>
    <row r="1210" spans="1:33" x14ac:dyDescent="0.3">
      <c r="A1210" t="s">
        <v>4867</v>
      </c>
      <c r="B1210" t="s">
        <v>55</v>
      </c>
      <c r="C1210" t="s">
        <v>4868</v>
      </c>
      <c r="D1210">
        <v>26030.62</v>
      </c>
      <c r="E1210" t="s">
        <v>4869</v>
      </c>
      <c r="F1210">
        <v>5.38</v>
      </c>
      <c r="G1210">
        <v>0.52999997138977051</v>
      </c>
      <c r="H1210">
        <v>417</v>
      </c>
      <c r="I1210">
        <v>0</v>
      </c>
      <c r="J1210" t="s">
        <v>4870</v>
      </c>
      <c r="K1210">
        <v>3145</v>
      </c>
      <c r="L1210">
        <v>2245</v>
      </c>
      <c r="M1210">
        <v>-28.62</v>
      </c>
      <c r="N1210">
        <v>-2.1800000000000002</v>
      </c>
      <c r="O1210">
        <v>-6.91</v>
      </c>
      <c r="P1210">
        <v>-1.2</v>
      </c>
      <c r="Q1210">
        <v>-7.43</v>
      </c>
      <c r="R1210">
        <v>-18.73</v>
      </c>
      <c r="S1210">
        <v>0.91</v>
      </c>
      <c r="T1210">
        <v>0.64</v>
      </c>
      <c r="U1210">
        <v>1.61</v>
      </c>
      <c r="V1210">
        <v>1.35</v>
      </c>
      <c r="W1210">
        <v>3.38</v>
      </c>
      <c r="X1210">
        <v>3.14</v>
      </c>
      <c r="Y1210">
        <v>1.85</v>
      </c>
      <c r="Z1210">
        <v>3.41</v>
      </c>
      <c r="AA1210">
        <v>4.29</v>
      </c>
      <c r="AB1210">
        <v>0.89</v>
      </c>
      <c r="AC1210">
        <v>2.2000000000000002</v>
      </c>
      <c r="AD1210">
        <v>5.96</v>
      </c>
      <c r="AE1210">
        <v>0.49</v>
      </c>
      <c r="AF1210">
        <v>2.8733333333333331</v>
      </c>
      <c r="AG1210" t="str">
        <f>HYPERLINK("https://finance.naver.com/item/fchart.naver?code=122690", "서진오토모티브 차트보기")</f>
        <v>서진오토모티브 차트보기</v>
      </c>
    </row>
    <row r="1211" spans="1:33" x14ac:dyDescent="0.3">
      <c r="A1211" t="s">
        <v>4871</v>
      </c>
      <c r="B1211" t="s">
        <v>55</v>
      </c>
      <c r="C1211" t="s">
        <v>4872</v>
      </c>
      <c r="D1211">
        <v>218754.48</v>
      </c>
      <c r="E1211" t="s">
        <v>4873</v>
      </c>
      <c r="F1211">
        <v>0</v>
      </c>
      <c r="G1211">
        <v>1.129999995231628</v>
      </c>
      <c r="H1211">
        <v>0</v>
      </c>
      <c r="I1211">
        <v>0</v>
      </c>
      <c r="J1211" t="s">
        <v>4874</v>
      </c>
      <c r="K1211">
        <v>820</v>
      </c>
      <c r="L1211">
        <v>802</v>
      </c>
      <c r="M1211">
        <v>-2.2000000000000002</v>
      </c>
      <c r="N1211">
        <v>0.38</v>
      </c>
      <c r="O1211">
        <v>4.32</v>
      </c>
      <c r="P1211">
        <v>-2.06</v>
      </c>
      <c r="Q1211">
        <v>-10.88</v>
      </c>
      <c r="R1211">
        <v>-5.93</v>
      </c>
      <c r="S1211">
        <v>4.8899999999999997</v>
      </c>
      <c r="T1211">
        <v>1.38</v>
      </c>
      <c r="U1211">
        <v>1.74</v>
      </c>
      <c r="V1211">
        <v>1.19</v>
      </c>
      <c r="W1211">
        <v>1.95</v>
      </c>
      <c r="X1211">
        <v>1.66</v>
      </c>
      <c r="Y1211">
        <v>1.36</v>
      </c>
      <c r="Z1211">
        <v>0.28000000000000003</v>
      </c>
      <c r="AA1211">
        <v>2.48</v>
      </c>
      <c r="AB1211">
        <v>1.73</v>
      </c>
      <c r="AC1211">
        <v>5.58</v>
      </c>
      <c r="AD1211">
        <v>3.57</v>
      </c>
      <c r="AE1211">
        <v>3.6</v>
      </c>
      <c r="AF1211">
        <v>2.873333333333334</v>
      </c>
      <c r="AG1211" t="str">
        <f>HYPERLINK("https://finance.naver.com/item/fchart.naver?code=131760", "파인텍 차트보기")</f>
        <v>파인텍 차트보기</v>
      </c>
    </row>
    <row r="1212" spans="1:33" x14ac:dyDescent="0.3">
      <c r="A1212" t="s">
        <v>4875</v>
      </c>
      <c r="B1212" t="s">
        <v>34</v>
      </c>
      <c r="C1212" t="s">
        <v>4876</v>
      </c>
      <c r="D1212">
        <v>13847.38</v>
      </c>
      <c r="E1212" t="s">
        <v>4877</v>
      </c>
      <c r="F1212">
        <v>53.95</v>
      </c>
      <c r="G1212">
        <v>0.239999994635582</v>
      </c>
      <c r="H1212">
        <v>81</v>
      </c>
      <c r="I1212">
        <v>0</v>
      </c>
      <c r="J1212" t="s">
        <v>4878</v>
      </c>
      <c r="K1212">
        <v>5570</v>
      </c>
      <c r="L1212">
        <v>4370</v>
      </c>
      <c r="M1212">
        <v>-21.54</v>
      </c>
      <c r="N1212">
        <v>-2.89</v>
      </c>
      <c r="O1212">
        <v>-0.44</v>
      </c>
      <c r="P1212">
        <v>4.63</v>
      </c>
      <c r="Q1212">
        <v>-2.02</v>
      </c>
      <c r="R1212">
        <v>-7.88</v>
      </c>
      <c r="S1212">
        <v>-9.26</v>
      </c>
      <c r="T1212">
        <v>1.33</v>
      </c>
      <c r="U1212">
        <v>0.95</v>
      </c>
      <c r="V1212">
        <v>1.48</v>
      </c>
      <c r="W1212">
        <v>3.3</v>
      </c>
      <c r="X1212">
        <v>2.2400000000000002</v>
      </c>
      <c r="Y1212">
        <v>1.26</v>
      </c>
      <c r="Z1212">
        <v>2.17</v>
      </c>
      <c r="AA1212">
        <v>0.46</v>
      </c>
      <c r="AB1212">
        <v>3.13</v>
      </c>
      <c r="AC1212">
        <v>0.61</v>
      </c>
      <c r="AD1212">
        <v>3.52</v>
      </c>
      <c r="AE1212">
        <v>7.35</v>
      </c>
      <c r="AF1212">
        <v>2.873333333333334</v>
      </c>
      <c r="AG1212" t="str">
        <f>HYPERLINK("https://finance.naver.com/item/fchart.naver?code=446070", "유니드비티플러스 차트보기")</f>
        <v>유니드비티플러스 차트보기</v>
      </c>
    </row>
    <row r="1213" spans="1:33" x14ac:dyDescent="0.3">
      <c r="A1213" t="s">
        <v>4879</v>
      </c>
      <c r="B1213" t="s">
        <v>55</v>
      </c>
      <c r="C1213" t="s">
        <v>4880</v>
      </c>
      <c r="D1213">
        <v>28595.759999999998</v>
      </c>
      <c r="E1213" t="s">
        <v>4881</v>
      </c>
      <c r="F1213">
        <v>4.8099999999999996</v>
      </c>
      <c r="G1213">
        <v>1.220000028610229</v>
      </c>
      <c r="H1213">
        <v>210</v>
      </c>
      <c r="I1213">
        <v>0</v>
      </c>
      <c r="J1213" t="s">
        <v>4882</v>
      </c>
      <c r="K1213">
        <v>1252</v>
      </c>
      <c r="L1213">
        <v>1010</v>
      </c>
      <c r="M1213">
        <v>-19.329999999999998</v>
      </c>
      <c r="N1213">
        <v>-1.17</v>
      </c>
      <c r="O1213">
        <v>-1.35</v>
      </c>
      <c r="P1213">
        <v>-2.98</v>
      </c>
      <c r="Q1213">
        <v>-4.53</v>
      </c>
      <c r="R1213">
        <v>3.96</v>
      </c>
      <c r="S1213">
        <v>-10.86</v>
      </c>
      <c r="T1213">
        <v>0.61</v>
      </c>
      <c r="U1213">
        <v>0.67</v>
      </c>
      <c r="V1213">
        <v>1.07</v>
      </c>
      <c r="W1213">
        <v>2.21</v>
      </c>
      <c r="X1213">
        <v>1.23</v>
      </c>
      <c r="Y1213">
        <v>2.0699999999999998</v>
      </c>
      <c r="Z1213">
        <v>1.92</v>
      </c>
      <c r="AA1213">
        <v>2.0099999999999998</v>
      </c>
      <c r="AB1213">
        <v>2.79</v>
      </c>
      <c r="AC1213">
        <v>2.0499999999999998</v>
      </c>
      <c r="AD1213">
        <v>3.22</v>
      </c>
      <c r="AE1213">
        <v>5.25</v>
      </c>
      <c r="AF1213">
        <v>2.873333333333334</v>
      </c>
      <c r="AG1213" t="str">
        <f>HYPERLINK("https://finance.naver.com/item/fchart.naver?code=263920", "휴엠앤씨 차트보기")</f>
        <v>휴엠앤씨 차트보기</v>
      </c>
    </row>
    <row r="1214" spans="1:33" x14ac:dyDescent="0.3">
      <c r="A1214" t="s">
        <v>4883</v>
      </c>
      <c r="B1214" t="s">
        <v>55</v>
      </c>
      <c r="C1214" t="s">
        <v>4884</v>
      </c>
      <c r="D1214">
        <v>26927.43</v>
      </c>
      <c r="E1214" t="s">
        <v>4885</v>
      </c>
      <c r="F1214">
        <v>6.38</v>
      </c>
      <c r="G1214">
        <v>1.3999999761581421</v>
      </c>
      <c r="H1214">
        <v>208</v>
      </c>
      <c r="I1214">
        <v>0</v>
      </c>
      <c r="J1214" t="s">
        <v>4886</v>
      </c>
      <c r="K1214">
        <v>2105</v>
      </c>
      <c r="L1214">
        <v>1327</v>
      </c>
      <c r="M1214">
        <v>-36.96</v>
      </c>
      <c r="N1214">
        <v>-6.55</v>
      </c>
      <c r="O1214">
        <v>-7.34</v>
      </c>
      <c r="P1214">
        <v>-7.66</v>
      </c>
      <c r="Q1214">
        <v>-11.8</v>
      </c>
      <c r="R1214">
        <v>2.34</v>
      </c>
      <c r="S1214">
        <v>-12.37</v>
      </c>
      <c r="T1214">
        <v>1.84</v>
      </c>
      <c r="U1214">
        <v>2.02</v>
      </c>
      <c r="V1214">
        <v>2.27</v>
      </c>
      <c r="W1214">
        <v>4.16</v>
      </c>
      <c r="X1214">
        <v>2.19</v>
      </c>
      <c r="Y1214">
        <v>4.45</v>
      </c>
      <c r="Z1214">
        <v>3.56</v>
      </c>
      <c r="AA1214">
        <v>3.63</v>
      </c>
      <c r="AB1214">
        <v>3.37</v>
      </c>
      <c r="AC1214">
        <v>2.84</v>
      </c>
      <c r="AD1214">
        <v>1.07</v>
      </c>
      <c r="AE1214">
        <v>2.78</v>
      </c>
      <c r="AF1214">
        <v>2.875</v>
      </c>
      <c r="AG1214" t="str">
        <f>HYPERLINK("https://finance.naver.com/item/fchart.naver?code=121890", "에스디시스템 차트보기")</f>
        <v>에스디시스템 차트보기</v>
      </c>
    </row>
    <row r="1215" spans="1:33" x14ac:dyDescent="0.3">
      <c r="A1215" t="s">
        <v>4887</v>
      </c>
      <c r="B1215" t="s">
        <v>55</v>
      </c>
      <c r="C1215" t="s">
        <v>4888</v>
      </c>
      <c r="D1215">
        <v>61674.19</v>
      </c>
      <c r="E1215" t="s">
        <v>4889</v>
      </c>
      <c r="F1215">
        <v>122</v>
      </c>
      <c r="G1215">
        <v>0.62000000476837158</v>
      </c>
      <c r="H1215">
        <v>4</v>
      </c>
      <c r="I1215">
        <v>0</v>
      </c>
      <c r="J1215" t="s">
        <v>4890</v>
      </c>
      <c r="K1215">
        <v>653</v>
      </c>
      <c r="L1215">
        <v>488</v>
      </c>
      <c r="M1215">
        <v>-25.27</v>
      </c>
      <c r="N1215">
        <v>0.21</v>
      </c>
      <c r="O1215">
        <v>2.29</v>
      </c>
      <c r="P1215">
        <v>-6.99</v>
      </c>
      <c r="Q1215">
        <v>-7.33</v>
      </c>
      <c r="R1215">
        <v>-7.02</v>
      </c>
      <c r="S1215">
        <v>-4.49</v>
      </c>
      <c r="T1215">
        <v>1.1399999999999999</v>
      </c>
      <c r="U1215">
        <v>0.84</v>
      </c>
      <c r="V1215">
        <v>1.75</v>
      </c>
      <c r="W1215">
        <v>2.0699999999999998</v>
      </c>
      <c r="X1215">
        <v>1.73</v>
      </c>
      <c r="Y1215">
        <v>1.63</v>
      </c>
      <c r="Z1215">
        <v>0.18</v>
      </c>
      <c r="AA1215">
        <v>2.73</v>
      </c>
      <c r="AB1215">
        <v>3.99</v>
      </c>
      <c r="AC1215">
        <v>3.54</v>
      </c>
      <c r="AD1215">
        <v>4.0599999999999996</v>
      </c>
      <c r="AE1215">
        <v>2.75</v>
      </c>
      <c r="AF1215">
        <v>2.875</v>
      </c>
      <c r="AG1215" t="str">
        <f>HYPERLINK("https://finance.naver.com/item/fchart.naver?code=054300", "팬스타엔터프라이즈 차트보기")</f>
        <v>팬스타엔터프라이즈 차트보기</v>
      </c>
    </row>
    <row r="1216" spans="1:33" x14ac:dyDescent="0.3">
      <c r="A1216" t="s">
        <v>4891</v>
      </c>
      <c r="B1216" t="s">
        <v>55</v>
      </c>
      <c r="C1216" t="s">
        <v>4892</v>
      </c>
      <c r="D1216">
        <v>86381.05</v>
      </c>
      <c r="E1216" t="s">
        <v>4893</v>
      </c>
      <c r="F1216">
        <v>2.4900000000000002</v>
      </c>
      <c r="G1216">
        <v>0.46000000834465032</v>
      </c>
      <c r="H1216">
        <v>1349</v>
      </c>
      <c r="I1216">
        <v>1.4900000095367429</v>
      </c>
      <c r="J1216" t="s">
        <v>4894</v>
      </c>
      <c r="K1216">
        <v>6320</v>
      </c>
      <c r="L1216">
        <v>3355</v>
      </c>
      <c r="M1216">
        <v>-46.91</v>
      </c>
      <c r="N1216">
        <v>3.23</v>
      </c>
      <c r="O1216">
        <v>-5.07</v>
      </c>
      <c r="P1216">
        <v>-12.81</v>
      </c>
      <c r="Q1216">
        <v>-12.25</v>
      </c>
      <c r="R1216">
        <v>-17.600000000000001</v>
      </c>
      <c r="S1216">
        <v>-4.72</v>
      </c>
      <c r="T1216">
        <v>3.94</v>
      </c>
      <c r="U1216">
        <v>2.0499999999999998</v>
      </c>
      <c r="V1216">
        <v>2.97</v>
      </c>
      <c r="W1216">
        <v>7.84</v>
      </c>
      <c r="X1216">
        <v>2.75</v>
      </c>
      <c r="Y1216">
        <v>2.77</v>
      </c>
      <c r="Z1216">
        <v>0.82</v>
      </c>
      <c r="AA1216">
        <v>2.4700000000000002</v>
      </c>
      <c r="AB1216">
        <v>4.3099999999999996</v>
      </c>
      <c r="AC1216">
        <v>1.56</v>
      </c>
      <c r="AD1216">
        <v>6.4</v>
      </c>
      <c r="AE1216">
        <v>1.7</v>
      </c>
      <c r="AF1216">
        <v>2.8766666666666669</v>
      </c>
      <c r="AG1216" t="str">
        <f>HYPERLINK("https://finance.naver.com/item/fchart.naver?code=094970", "제이엠티 차트보기")</f>
        <v>제이엠티 차트보기</v>
      </c>
    </row>
    <row r="1217" spans="1:33" x14ac:dyDescent="0.3">
      <c r="A1217" t="s">
        <v>4895</v>
      </c>
      <c r="B1217" t="s">
        <v>55</v>
      </c>
      <c r="C1217" t="s">
        <v>4896</v>
      </c>
      <c r="D1217">
        <v>188518.76</v>
      </c>
      <c r="E1217" t="s">
        <v>4897</v>
      </c>
      <c r="F1217">
        <v>8.6300000000000008</v>
      </c>
      <c r="G1217">
        <v>0.77999997138977051</v>
      </c>
      <c r="H1217">
        <v>497</v>
      </c>
      <c r="I1217">
        <v>2.3299999237060551</v>
      </c>
      <c r="J1217" t="s">
        <v>4898</v>
      </c>
      <c r="K1217">
        <v>4520</v>
      </c>
      <c r="L1217">
        <v>4290</v>
      </c>
      <c r="M1217">
        <v>-5.09</v>
      </c>
      <c r="N1217">
        <v>8.06</v>
      </c>
      <c r="O1217">
        <v>-3.25</v>
      </c>
      <c r="P1217">
        <v>-6.53</v>
      </c>
      <c r="Q1217">
        <v>-14.8</v>
      </c>
      <c r="R1217">
        <v>7.61</v>
      </c>
      <c r="S1217">
        <v>7.93</v>
      </c>
      <c r="T1217">
        <v>3.2</v>
      </c>
      <c r="U1217">
        <v>1.79</v>
      </c>
      <c r="V1217">
        <v>2.5499999999999998</v>
      </c>
      <c r="W1217">
        <v>3.72</v>
      </c>
      <c r="X1217">
        <v>3.11</v>
      </c>
      <c r="Y1217">
        <v>2.02</v>
      </c>
      <c r="Z1217">
        <v>2.52</v>
      </c>
      <c r="AA1217">
        <v>1.82</v>
      </c>
      <c r="AB1217">
        <v>2.56</v>
      </c>
      <c r="AC1217">
        <v>3.98</v>
      </c>
      <c r="AD1217">
        <v>2.4500000000000002</v>
      </c>
      <c r="AE1217">
        <v>3.93</v>
      </c>
      <c r="AF1217">
        <v>2.8766666666666669</v>
      </c>
      <c r="AG1217" t="str">
        <f>HYPERLINK("https://finance.naver.com/item/fchart.naver?code=054540", "삼영엠텍 차트보기")</f>
        <v>삼영엠텍 차트보기</v>
      </c>
    </row>
    <row r="1218" spans="1:33" x14ac:dyDescent="0.3">
      <c r="A1218" t="s">
        <v>4899</v>
      </c>
      <c r="B1218" t="s">
        <v>55</v>
      </c>
      <c r="C1218" t="s">
        <v>4900</v>
      </c>
      <c r="D1218">
        <v>457355.05</v>
      </c>
      <c r="E1218" t="s">
        <v>4901</v>
      </c>
      <c r="F1218">
        <v>0</v>
      </c>
      <c r="G1218">
        <v>0.36000001430511469</v>
      </c>
      <c r="H1218">
        <v>0</v>
      </c>
      <c r="I1218">
        <v>0</v>
      </c>
      <c r="J1218" t="s">
        <v>4902</v>
      </c>
      <c r="K1218">
        <v>377</v>
      </c>
      <c r="L1218">
        <v>398</v>
      </c>
      <c r="M1218">
        <v>5.57</v>
      </c>
      <c r="N1218">
        <v>-1.73</v>
      </c>
      <c r="O1218">
        <v>-5.12</v>
      </c>
      <c r="P1218">
        <v>16.87</v>
      </c>
      <c r="Q1218">
        <v>8.2899999999999991</v>
      </c>
      <c r="R1218">
        <v>20.78</v>
      </c>
      <c r="S1218">
        <v>-14.21</v>
      </c>
      <c r="T1218">
        <v>2.13</v>
      </c>
      <c r="U1218">
        <v>4.09</v>
      </c>
      <c r="V1218">
        <v>4.5599999999999996</v>
      </c>
      <c r="W1218">
        <v>4.5599999999999996</v>
      </c>
      <c r="X1218">
        <v>5.41</v>
      </c>
      <c r="Y1218">
        <v>2.4300000000000002</v>
      </c>
      <c r="Z1218">
        <v>0.81</v>
      </c>
      <c r="AA1218">
        <v>1.25</v>
      </c>
      <c r="AB1218">
        <v>3.7</v>
      </c>
      <c r="AC1218">
        <v>1.82</v>
      </c>
      <c r="AD1218">
        <v>3.84</v>
      </c>
      <c r="AE1218">
        <v>5.85</v>
      </c>
      <c r="AF1218">
        <v>2.878333333333333</v>
      </c>
      <c r="AG1218" t="str">
        <f>HYPERLINK("https://finance.naver.com/item/fchart.naver?code=137940", "넥스트아이 차트보기")</f>
        <v>넥스트아이 차트보기</v>
      </c>
    </row>
    <row r="1219" spans="1:33" x14ac:dyDescent="0.3">
      <c r="A1219" t="s">
        <v>4903</v>
      </c>
      <c r="B1219" t="s">
        <v>55</v>
      </c>
      <c r="C1219" t="s">
        <v>4904</v>
      </c>
      <c r="D1219">
        <v>29372.43</v>
      </c>
      <c r="E1219" t="s">
        <v>4905</v>
      </c>
      <c r="F1219">
        <v>0</v>
      </c>
      <c r="G1219">
        <v>2.25</v>
      </c>
      <c r="H1219">
        <v>0</v>
      </c>
      <c r="I1219">
        <v>0</v>
      </c>
      <c r="J1219" t="s">
        <v>4906</v>
      </c>
      <c r="K1219">
        <v>8980</v>
      </c>
      <c r="L1219">
        <v>5000</v>
      </c>
      <c r="M1219">
        <v>-44.32</v>
      </c>
      <c r="N1219">
        <v>0.4</v>
      </c>
      <c r="O1219">
        <v>-9.91</v>
      </c>
      <c r="P1219">
        <v>-14.54</v>
      </c>
      <c r="Q1219">
        <v>-18.62</v>
      </c>
      <c r="R1219">
        <v>16.3</v>
      </c>
      <c r="S1219">
        <v>-27.97</v>
      </c>
      <c r="T1219">
        <v>1.8</v>
      </c>
      <c r="U1219">
        <v>2.71</v>
      </c>
      <c r="V1219">
        <v>4.7</v>
      </c>
      <c r="W1219">
        <v>6.75</v>
      </c>
      <c r="X1219">
        <v>7.2</v>
      </c>
      <c r="Y1219">
        <v>5.3</v>
      </c>
      <c r="Z1219">
        <v>0.22</v>
      </c>
      <c r="AA1219">
        <v>3.66</v>
      </c>
      <c r="AB1219">
        <v>3.09</v>
      </c>
      <c r="AC1219">
        <v>2.76</v>
      </c>
      <c r="AD1219">
        <v>2.2599999999999998</v>
      </c>
      <c r="AE1219">
        <v>5.28</v>
      </c>
      <c r="AF1219">
        <v>2.878333333333333</v>
      </c>
      <c r="AG1219" t="str">
        <f>HYPERLINK("https://finance.naver.com/item/fchart.naver?code=203690", "스피어파워 차트보기")</f>
        <v>스피어파워 차트보기</v>
      </c>
    </row>
    <row r="1220" spans="1:33" x14ac:dyDescent="0.3">
      <c r="A1220" t="s">
        <v>4907</v>
      </c>
      <c r="B1220" t="s">
        <v>34</v>
      </c>
      <c r="C1220" t="s">
        <v>4908</v>
      </c>
      <c r="D1220">
        <v>111218</v>
      </c>
      <c r="E1220" t="s">
        <v>4909</v>
      </c>
      <c r="F1220">
        <v>24.78</v>
      </c>
      <c r="G1220">
        <v>2.6400001049041748</v>
      </c>
      <c r="H1220">
        <v>12812</v>
      </c>
      <c r="I1220">
        <v>0</v>
      </c>
      <c r="J1220" t="s">
        <v>4910</v>
      </c>
      <c r="K1220">
        <v>258500</v>
      </c>
      <c r="L1220">
        <v>317500</v>
      </c>
      <c r="M1220">
        <v>22.82</v>
      </c>
      <c r="N1220">
        <v>-4.8</v>
      </c>
      <c r="O1220">
        <v>-2.0699999999999998</v>
      </c>
      <c r="P1220">
        <v>6.04</v>
      </c>
      <c r="Q1220">
        <v>12.95</v>
      </c>
      <c r="R1220">
        <v>7.5</v>
      </c>
      <c r="S1220">
        <v>13.74</v>
      </c>
      <c r="T1220">
        <v>3.74</v>
      </c>
      <c r="U1220">
        <v>2.16</v>
      </c>
      <c r="V1220">
        <v>2.35</v>
      </c>
      <c r="W1220">
        <v>3.71</v>
      </c>
      <c r="X1220">
        <v>1.94</v>
      </c>
      <c r="Y1220">
        <v>2.69</v>
      </c>
      <c r="Z1220">
        <v>1.28</v>
      </c>
      <c r="AA1220">
        <v>0.96</v>
      </c>
      <c r="AB1220">
        <v>2.57</v>
      </c>
      <c r="AC1220">
        <v>3.49</v>
      </c>
      <c r="AD1220">
        <v>3.87</v>
      </c>
      <c r="AE1220">
        <v>5.1100000000000003</v>
      </c>
      <c r="AF1220">
        <v>2.88</v>
      </c>
      <c r="AG1220" t="str">
        <f>HYPERLINK("https://finance.naver.com/item/fchart.naver?code=259960", "크래프톤 차트보기")</f>
        <v>크래프톤 차트보기</v>
      </c>
    </row>
    <row r="1221" spans="1:33" x14ac:dyDescent="0.3">
      <c r="A1221" t="s">
        <v>4911</v>
      </c>
      <c r="B1221" t="s">
        <v>34</v>
      </c>
      <c r="C1221" t="s">
        <v>4912</v>
      </c>
      <c r="D1221">
        <v>42177.19</v>
      </c>
      <c r="E1221" t="s">
        <v>4913</v>
      </c>
      <c r="F1221">
        <v>36.25</v>
      </c>
      <c r="G1221">
        <v>1.0099999904632571</v>
      </c>
      <c r="H1221">
        <v>144</v>
      </c>
      <c r="I1221">
        <v>4.4099998474121094</v>
      </c>
      <c r="J1221" t="s">
        <v>4914</v>
      </c>
      <c r="K1221">
        <v>8640</v>
      </c>
      <c r="L1221">
        <v>5220</v>
      </c>
      <c r="M1221">
        <v>-39.58</v>
      </c>
      <c r="N1221">
        <v>-8.9</v>
      </c>
      <c r="O1221">
        <v>-11.57</v>
      </c>
      <c r="P1221">
        <v>-3.3</v>
      </c>
      <c r="Q1221">
        <v>-4.0199999999999996</v>
      </c>
      <c r="R1221">
        <v>-8.76</v>
      </c>
      <c r="S1221">
        <v>-0.38</v>
      </c>
      <c r="T1221">
        <v>3.15</v>
      </c>
      <c r="U1221">
        <v>1.44</v>
      </c>
      <c r="V1221">
        <v>2.0299999999999998</v>
      </c>
      <c r="W1221">
        <v>4.4800000000000004</v>
      </c>
      <c r="X1221">
        <v>2.34</v>
      </c>
      <c r="Y1221">
        <v>2.33</v>
      </c>
      <c r="Z1221">
        <v>2.83</v>
      </c>
      <c r="AA1221">
        <v>8.0299999999999994</v>
      </c>
      <c r="AB1221">
        <v>1.63</v>
      </c>
      <c r="AC1221">
        <v>0.9</v>
      </c>
      <c r="AD1221">
        <v>3.74</v>
      </c>
      <c r="AE1221">
        <v>0.16</v>
      </c>
      <c r="AF1221">
        <v>2.8816666666666659</v>
      </c>
      <c r="AG1221" t="str">
        <f>HYPERLINK("https://finance.naver.com/item/fchart.naver?code=083420", "그린케미칼 차트보기")</f>
        <v>그린케미칼 차트보기</v>
      </c>
    </row>
    <row r="1222" spans="1:33" x14ac:dyDescent="0.3">
      <c r="A1222" t="s">
        <v>4915</v>
      </c>
      <c r="B1222" t="s">
        <v>55</v>
      </c>
      <c r="C1222" t="s">
        <v>4916</v>
      </c>
      <c r="D1222">
        <v>54719.48</v>
      </c>
      <c r="E1222" t="s">
        <v>4917</v>
      </c>
      <c r="F1222">
        <v>6.73</v>
      </c>
      <c r="G1222">
        <v>1.2599999904632571</v>
      </c>
      <c r="H1222">
        <v>982</v>
      </c>
      <c r="I1222">
        <v>0</v>
      </c>
      <c r="J1222" t="s">
        <v>4918</v>
      </c>
      <c r="K1222">
        <v>11590</v>
      </c>
      <c r="L1222">
        <v>6610</v>
      </c>
      <c r="M1222">
        <v>-42.97</v>
      </c>
      <c r="N1222">
        <v>0.92</v>
      </c>
      <c r="O1222">
        <v>-7.09</v>
      </c>
      <c r="P1222">
        <v>-0.4</v>
      </c>
      <c r="Q1222">
        <v>-15.28</v>
      </c>
      <c r="R1222">
        <v>-14.53</v>
      </c>
      <c r="S1222">
        <v>-6.02</v>
      </c>
      <c r="T1222">
        <v>3.26</v>
      </c>
      <c r="U1222">
        <v>2.14</v>
      </c>
      <c r="V1222">
        <v>2.69</v>
      </c>
      <c r="W1222">
        <v>5.15</v>
      </c>
      <c r="X1222">
        <v>1.91</v>
      </c>
      <c r="Y1222">
        <v>2.0299999999999998</v>
      </c>
      <c r="Z1222">
        <v>0.28000000000000003</v>
      </c>
      <c r="AA1222">
        <v>3.31</v>
      </c>
      <c r="AB1222">
        <v>0.15</v>
      </c>
      <c r="AC1222">
        <v>2.97</v>
      </c>
      <c r="AD1222">
        <v>7.61</v>
      </c>
      <c r="AE1222">
        <v>2.97</v>
      </c>
      <c r="AF1222">
        <v>2.8816666666666659</v>
      </c>
      <c r="AG1222" t="str">
        <f>HYPERLINK("https://finance.naver.com/item/fchart.naver?code=105760", "포스뱅크 차트보기")</f>
        <v>포스뱅크 차트보기</v>
      </c>
    </row>
    <row r="1223" spans="1:33" x14ac:dyDescent="0.3">
      <c r="A1223" t="s">
        <v>4919</v>
      </c>
      <c r="B1223" t="s">
        <v>55</v>
      </c>
      <c r="C1223" t="s">
        <v>4920</v>
      </c>
      <c r="D1223">
        <v>2549490.19</v>
      </c>
      <c r="E1223" t="s">
        <v>4921</v>
      </c>
      <c r="F1223">
        <v>0</v>
      </c>
      <c r="G1223">
        <v>3.660000085830688</v>
      </c>
      <c r="H1223">
        <v>0</v>
      </c>
      <c r="I1223">
        <v>0</v>
      </c>
      <c r="J1223" t="s">
        <v>4922</v>
      </c>
      <c r="K1223">
        <v>3839</v>
      </c>
      <c r="L1223">
        <v>2225</v>
      </c>
      <c r="M1223">
        <v>-42.04</v>
      </c>
      <c r="N1223">
        <v>-5.72</v>
      </c>
      <c r="O1223">
        <v>-9.93</v>
      </c>
      <c r="P1223">
        <v>-19.89</v>
      </c>
      <c r="Q1223">
        <v>18.43</v>
      </c>
      <c r="R1223">
        <v>44.25</v>
      </c>
      <c r="S1223">
        <v>-10.41</v>
      </c>
      <c r="T1223">
        <v>2.29</v>
      </c>
      <c r="U1223">
        <v>4.66</v>
      </c>
      <c r="V1223">
        <v>8.31</v>
      </c>
      <c r="W1223">
        <v>10.3</v>
      </c>
      <c r="X1223">
        <v>10.73</v>
      </c>
      <c r="Y1223">
        <v>2.39</v>
      </c>
      <c r="Z1223">
        <v>2.5</v>
      </c>
      <c r="AA1223">
        <v>2.13</v>
      </c>
      <c r="AB1223">
        <v>2.39</v>
      </c>
      <c r="AC1223">
        <v>1.79</v>
      </c>
      <c r="AD1223">
        <v>4.12</v>
      </c>
      <c r="AE1223">
        <v>4.3600000000000003</v>
      </c>
      <c r="AF1223">
        <v>2.8816666666666659</v>
      </c>
      <c r="AG1223" t="str">
        <f>HYPERLINK("https://finance.naver.com/item/fchart.naver?code=180400", "DXVX 차트보기")</f>
        <v>DXVX 차트보기</v>
      </c>
    </row>
    <row r="1224" spans="1:33" x14ac:dyDescent="0.3">
      <c r="A1224" t="s">
        <v>4923</v>
      </c>
      <c r="B1224" t="s">
        <v>55</v>
      </c>
      <c r="C1224" t="s">
        <v>4924</v>
      </c>
      <c r="D1224">
        <v>75440.86</v>
      </c>
      <c r="E1224" t="s">
        <v>4925</v>
      </c>
      <c r="F1224">
        <v>0</v>
      </c>
      <c r="G1224">
        <v>3.4800000190734859</v>
      </c>
      <c r="H1224">
        <v>0</v>
      </c>
      <c r="I1224">
        <v>0</v>
      </c>
      <c r="J1224" t="s">
        <v>4926</v>
      </c>
      <c r="K1224">
        <v>23000</v>
      </c>
      <c r="L1224">
        <v>11390</v>
      </c>
      <c r="M1224">
        <v>-50.48</v>
      </c>
      <c r="N1224">
        <v>7.05</v>
      </c>
      <c r="O1224">
        <v>-2.4900000000000002</v>
      </c>
      <c r="P1224">
        <v>-2.7</v>
      </c>
      <c r="Q1224">
        <v>-10.89</v>
      </c>
      <c r="R1224">
        <v>-15.29</v>
      </c>
      <c r="S1224">
        <v>-22.88</v>
      </c>
      <c r="T1224">
        <v>5.55</v>
      </c>
      <c r="U1224">
        <v>2.5499999999999998</v>
      </c>
      <c r="V1224">
        <v>3.71</v>
      </c>
      <c r="W1224">
        <v>5.82</v>
      </c>
      <c r="X1224">
        <v>3.14</v>
      </c>
      <c r="Y1224">
        <v>3.02</v>
      </c>
      <c r="Z1224">
        <v>1.27</v>
      </c>
      <c r="AA1224">
        <v>0.98</v>
      </c>
      <c r="AB1224">
        <v>0.73</v>
      </c>
      <c r="AC1224">
        <v>1.87</v>
      </c>
      <c r="AD1224">
        <v>4.87</v>
      </c>
      <c r="AE1224">
        <v>7.58</v>
      </c>
      <c r="AF1224">
        <v>2.8833333333333329</v>
      </c>
      <c r="AG1224" t="str">
        <f>HYPERLINK("https://finance.naver.com/item/fchart.naver?code=377480", "마음AI 차트보기")</f>
        <v>마음AI 차트보기</v>
      </c>
    </row>
    <row r="1225" spans="1:33" x14ac:dyDescent="0.3">
      <c r="A1225" t="s">
        <v>4927</v>
      </c>
      <c r="B1225" t="s">
        <v>55</v>
      </c>
      <c r="C1225" t="s">
        <v>4928</v>
      </c>
      <c r="D1225">
        <v>318741.95</v>
      </c>
      <c r="E1225" t="s">
        <v>4929</v>
      </c>
      <c r="F1225">
        <v>8.1</v>
      </c>
      <c r="G1225">
        <v>0.56000000238418579</v>
      </c>
      <c r="H1225">
        <v>659</v>
      </c>
      <c r="I1225">
        <v>1.5</v>
      </c>
      <c r="J1225" t="s">
        <v>4930</v>
      </c>
      <c r="K1225">
        <v>8130</v>
      </c>
      <c r="L1225">
        <v>5340</v>
      </c>
      <c r="M1225">
        <v>-34.32</v>
      </c>
      <c r="N1225">
        <v>-1.84</v>
      </c>
      <c r="O1225">
        <v>-8.8800000000000008</v>
      </c>
      <c r="P1225">
        <v>-7.07</v>
      </c>
      <c r="Q1225">
        <v>-14.96</v>
      </c>
      <c r="R1225">
        <v>-17.079999999999998</v>
      </c>
      <c r="S1225">
        <v>8.32</v>
      </c>
      <c r="T1225">
        <v>1.99</v>
      </c>
      <c r="U1225">
        <v>2.69</v>
      </c>
      <c r="V1225">
        <v>2.7</v>
      </c>
      <c r="W1225">
        <v>5.49</v>
      </c>
      <c r="X1225">
        <v>3.16</v>
      </c>
      <c r="Y1225">
        <v>3.57</v>
      </c>
      <c r="Z1225">
        <v>0.92</v>
      </c>
      <c r="AA1225">
        <v>3.3</v>
      </c>
      <c r="AB1225">
        <v>2.62</v>
      </c>
      <c r="AC1225">
        <v>2.72</v>
      </c>
      <c r="AD1225">
        <v>5.41</v>
      </c>
      <c r="AE1225">
        <v>2.33</v>
      </c>
      <c r="AF1225">
        <v>2.8833333333333329</v>
      </c>
      <c r="AG1225" t="str">
        <f>HYPERLINK("https://finance.naver.com/item/fchart.naver?code=054210", "이랜텍 차트보기")</f>
        <v>이랜텍 차트보기</v>
      </c>
    </row>
    <row r="1226" spans="1:33" x14ac:dyDescent="0.3">
      <c r="A1226" t="s">
        <v>4931</v>
      </c>
      <c r="B1226" t="s">
        <v>55</v>
      </c>
      <c r="C1226" t="s">
        <v>4932</v>
      </c>
      <c r="D1226">
        <v>461368.62</v>
      </c>
      <c r="E1226" t="s">
        <v>4933</v>
      </c>
      <c r="F1226">
        <v>0</v>
      </c>
      <c r="G1226">
        <v>1.25</v>
      </c>
      <c r="H1226">
        <v>0</v>
      </c>
      <c r="I1226">
        <v>0</v>
      </c>
      <c r="J1226" t="s">
        <v>4934</v>
      </c>
      <c r="K1226">
        <v>642</v>
      </c>
      <c r="L1226">
        <v>266</v>
      </c>
      <c r="M1226">
        <v>-58.57</v>
      </c>
      <c r="N1226">
        <v>-1.1200000000000001</v>
      </c>
      <c r="O1226">
        <v>-31.65</v>
      </c>
      <c r="P1226">
        <v>-3.13</v>
      </c>
      <c r="Q1226">
        <v>-10.85</v>
      </c>
      <c r="R1226">
        <v>-6.79</v>
      </c>
      <c r="S1226">
        <v>-8.1999999999999993</v>
      </c>
      <c r="T1226">
        <v>1.03</v>
      </c>
      <c r="U1226">
        <v>4.95</v>
      </c>
      <c r="V1226">
        <v>2.0099999999999998</v>
      </c>
      <c r="W1226">
        <v>2.97</v>
      </c>
      <c r="X1226">
        <v>3.55</v>
      </c>
      <c r="Y1226">
        <v>3.04</v>
      </c>
      <c r="Z1226">
        <v>1.0900000000000001</v>
      </c>
      <c r="AA1226">
        <v>6.39</v>
      </c>
      <c r="AB1226">
        <v>1.56</v>
      </c>
      <c r="AC1226">
        <v>3.65</v>
      </c>
      <c r="AD1226">
        <v>1.91</v>
      </c>
      <c r="AE1226">
        <v>2.7</v>
      </c>
      <c r="AF1226">
        <v>2.8833333333333329</v>
      </c>
      <c r="AG1226" t="str">
        <f>HYPERLINK("https://finance.naver.com/item/fchart.naver?code=009620", "삼보산업 차트보기")</f>
        <v>삼보산업 차트보기</v>
      </c>
    </row>
    <row r="1227" spans="1:33" x14ac:dyDescent="0.3">
      <c r="A1227" t="s">
        <v>4935</v>
      </c>
      <c r="B1227" t="s">
        <v>55</v>
      </c>
      <c r="C1227" t="s">
        <v>4936</v>
      </c>
      <c r="D1227">
        <v>3701884.29</v>
      </c>
      <c r="E1227" t="s">
        <v>4937</v>
      </c>
      <c r="F1227">
        <v>28.04</v>
      </c>
      <c r="G1227">
        <v>0.98000001907348633</v>
      </c>
      <c r="H1227">
        <v>358</v>
      </c>
      <c r="I1227">
        <v>0.69999998807907104</v>
      </c>
      <c r="J1227" t="s">
        <v>4938</v>
      </c>
      <c r="K1227">
        <v>6640</v>
      </c>
      <c r="L1227">
        <v>10040</v>
      </c>
      <c r="M1227">
        <v>51.2</v>
      </c>
      <c r="N1227">
        <v>20.38</v>
      </c>
      <c r="O1227">
        <v>18.16</v>
      </c>
      <c r="P1227">
        <v>-11.51</v>
      </c>
      <c r="Q1227">
        <v>-9.27</v>
      </c>
      <c r="R1227">
        <v>37.57</v>
      </c>
      <c r="S1227">
        <v>-4.0199999999999996</v>
      </c>
      <c r="T1227">
        <v>10.88</v>
      </c>
      <c r="U1227">
        <v>5.77</v>
      </c>
      <c r="V1227">
        <v>3.79</v>
      </c>
      <c r="W1227">
        <v>5.66</v>
      </c>
      <c r="X1227">
        <v>6.6</v>
      </c>
      <c r="Y1227">
        <v>2.11</v>
      </c>
      <c r="Z1227">
        <v>1.87</v>
      </c>
      <c r="AA1227">
        <v>3.15</v>
      </c>
      <c r="AB1227">
        <v>3.04</v>
      </c>
      <c r="AC1227">
        <v>1.64</v>
      </c>
      <c r="AD1227">
        <v>5.69</v>
      </c>
      <c r="AE1227">
        <v>1.91</v>
      </c>
      <c r="AF1227">
        <v>2.8833333333333329</v>
      </c>
      <c r="AG1227" t="str">
        <f>HYPERLINK("https://finance.naver.com/item/fchart.naver?code=041440", "현대에버다임 차트보기")</f>
        <v>현대에버다임 차트보기</v>
      </c>
    </row>
    <row r="1228" spans="1:33" x14ac:dyDescent="0.3">
      <c r="A1228" t="s">
        <v>4939</v>
      </c>
      <c r="B1228" t="s">
        <v>34</v>
      </c>
      <c r="C1228" t="s">
        <v>4940</v>
      </c>
      <c r="D1228">
        <v>298099.14</v>
      </c>
      <c r="E1228" t="s">
        <v>4941</v>
      </c>
      <c r="F1228">
        <v>0</v>
      </c>
      <c r="G1228">
        <v>2.9300000667572021</v>
      </c>
      <c r="H1228">
        <v>0</v>
      </c>
      <c r="I1228">
        <v>0</v>
      </c>
      <c r="J1228" t="s">
        <v>4942</v>
      </c>
      <c r="K1228">
        <v>110700</v>
      </c>
      <c r="L1228">
        <v>121600</v>
      </c>
      <c r="M1228">
        <v>9.85</v>
      </c>
      <c r="N1228">
        <v>-14.43</v>
      </c>
      <c r="O1228">
        <v>3.2</v>
      </c>
      <c r="P1228">
        <v>10.84</v>
      </c>
      <c r="Q1228">
        <v>-7.74</v>
      </c>
      <c r="R1228">
        <v>-16.02</v>
      </c>
      <c r="S1228">
        <v>15.72</v>
      </c>
      <c r="T1228">
        <v>3.58</v>
      </c>
      <c r="U1228">
        <v>3.5</v>
      </c>
      <c r="V1228">
        <v>4.8499999999999996</v>
      </c>
      <c r="W1228">
        <v>4.46</v>
      </c>
      <c r="X1228">
        <v>3.1</v>
      </c>
      <c r="Y1228">
        <v>4.88</v>
      </c>
      <c r="Z1228">
        <v>4.03</v>
      </c>
      <c r="AA1228">
        <v>0.91</v>
      </c>
      <c r="AB1228">
        <v>2.2400000000000002</v>
      </c>
      <c r="AC1228">
        <v>1.74</v>
      </c>
      <c r="AD1228">
        <v>5.17</v>
      </c>
      <c r="AE1228">
        <v>3.22</v>
      </c>
      <c r="AF1228">
        <v>2.8849999999999998</v>
      </c>
      <c r="AG1228" t="str">
        <f>HYPERLINK("https://finance.naver.com/item/fchart.naver?code=011790", "SKC 차트보기")</f>
        <v>SKC 차트보기</v>
      </c>
    </row>
    <row r="1229" spans="1:33" x14ac:dyDescent="0.3">
      <c r="A1229" t="s">
        <v>4943</v>
      </c>
      <c r="B1229" t="s">
        <v>55</v>
      </c>
      <c r="C1229" t="s">
        <v>4944</v>
      </c>
      <c r="D1229">
        <v>37354.050000000003</v>
      </c>
      <c r="E1229" t="s">
        <v>4945</v>
      </c>
      <c r="F1229">
        <v>0</v>
      </c>
      <c r="G1229">
        <v>1.7899999618530269</v>
      </c>
      <c r="H1229">
        <v>0</v>
      </c>
      <c r="I1229">
        <v>0</v>
      </c>
      <c r="J1229" t="s">
        <v>4946</v>
      </c>
      <c r="K1229">
        <v>2745</v>
      </c>
      <c r="L1229">
        <v>2015</v>
      </c>
      <c r="M1229">
        <v>-26.59</v>
      </c>
      <c r="N1229">
        <v>-2.89</v>
      </c>
      <c r="O1229">
        <v>-0.25</v>
      </c>
      <c r="P1229">
        <v>-5.48</v>
      </c>
      <c r="Q1229">
        <v>14.79</v>
      </c>
      <c r="R1229">
        <v>-9.43</v>
      </c>
      <c r="S1229">
        <v>-11.55</v>
      </c>
      <c r="T1229">
        <v>2.2999999999999998</v>
      </c>
      <c r="U1229">
        <v>1.78</v>
      </c>
      <c r="V1229">
        <v>4.1900000000000004</v>
      </c>
      <c r="W1229">
        <v>5.92</v>
      </c>
      <c r="X1229">
        <v>1.85</v>
      </c>
      <c r="Y1229">
        <v>1.65</v>
      </c>
      <c r="Z1229">
        <v>1.26</v>
      </c>
      <c r="AA1229">
        <v>0.14000000000000001</v>
      </c>
      <c r="AB1229">
        <v>1.31</v>
      </c>
      <c r="AC1229">
        <v>2.5</v>
      </c>
      <c r="AD1229">
        <v>5.0999999999999996</v>
      </c>
      <c r="AE1229">
        <v>7</v>
      </c>
      <c r="AF1229">
        <v>2.8849999999999998</v>
      </c>
      <c r="AG1229" t="str">
        <f>HYPERLINK("https://finance.naver.com/item/fchart.naver?code=232830", "시큐센 차트보기")</f>
        <v>시큐센 차트보기</v>
      </c>
    </row>
    <row r="1230" spans="1:33" x14ac:dyDescent="0.3">
      <c r="A1230" t="s">
        <v>4947</v>
      </c>
      <c r="B1230" t="s">
        <v>55</v>
      </c>
      <c r="C1230" t="s">
        <v>4948</v>
      </c>
      <c r="D1230">
        <v>38847.33</v>
      </c>
      <c r="E1230" t="s">
        <v>4949</v>
      </c>
      <c r="F1230">
        <v>5.68</v>
      </c>
      <c r="G1230">
        <v>0.81000000238418579</v>
      </c>
      <c r="H1230">
        <v>785</v>
      </c>
      <c r="I1230">
        <v>0</v>
      </c>
      <c r="J1230" t="s">
        <v>4950</v>
      </c>
      <c r="K1230">
        <v>5250</v>
      </c>
      <c r="L1230">
        <v>4455</v>
      </c>
      <c r="M1230">
        <v>-15.14</v>
      </c>
      <c r="N1230">
        <v>4.21</v>
      </c>
      <c r="O1230">
        <v>1.66</v>
      </c>
      <c r="P1230">
        <v>-3.27</v>
      </c>
      <c r="Q1230">
        <v>-5.05</v>
      </c>
      <c r="R1230">
        <v>-5.78</v>
      </c>
      <c r="S1230">
        <v>-4.21</v>
      </c>
      <c r="T1230">
        <v>1.48</v>
      </c>
      <c r="U1230">
        <v>1.57</v>
      </c>
      <c r="V1230">
        <v>1.94</v>
      </c>
      <c r="W1230">
        <v>2.88</v>
      </c>
      <c r="X1230">
        <v>1.07</v>
      </c>
      <c r="Y1230">
        <v>0.92</v>
      </c>
      <c r="Z1230">
        <v>2.84</v>
      </c>
      <c r="AA1230">
        <v>1.06</v>
      </c>
      <c r="AB1230">
        <v>1.69</v>
      </c>
      <c r="AC1230">
        <v>1.75</v>
      </c>
      <c r="AD1230">
        <v>5.4</v>
      </c>
      <c r="AE1230">
        <v>4.58</v>
      </c>
      <c r="AF1230">
        <v>2.8866666666666672</v>
      </c>
      <c r="AG1230" t="str">
        <f>HYPERLINK("https://finance.naver.com/item/fchart.naver?code=071200", "인피니트헬스케어 차트보기")</f>
        <v>인피니트헬스케어 차트보기</v>
      </c>
    </row>
    <row r="1231" spans="1:33" x14ac:dyDescent="0.3">
      <c r="A1231" t="s">
        <v>4951</v>
      </c>
      <c r="B1231" t="s">
        <v>34</v>
      </c>
      <c r="C1231" t="s">
        <v>4952</v>
      </c>
      <c r="D1231">
        <v>17167.62</v>
      </c>
      <c r="E1231" t="s">
        <v>4953</v>
      </c>
      <c r="F1231">
        <v>0</v>
      </c>
      <c r="G1231">
        <v>0.38999998569488531</v>
      </c>
      <c r="H1231">
        <v>0</v>
      </c>
      <c r="I1231">
        <v>2.0099999904632568</v>
      </c>
      <c r="J1231" t="s">
        <v>4954</v>
      </c>
      <c r="K1231">
        <v>2840</v>
      </c>
      <c r="L1231">
        <v>2240</v>
      </c>
      <c r="M1231">
        <v>-21.13</v>
      </c>
      <c r="N1231">
        <v>0</v>
      </c>
      <c r="O1231">
        <v>-2.14</v>
      </c>
      <c r="P1231">
        <v>4.97</v>
      </c>
      <c r="Q1231">
        <v>-13.98</v>
      </c>
      <c r="R1231">
        <v>-0.19</v>
      </c>
      <c r="S1231">
        <v>-8.14</v>
      </c>
      <c r="T1231">
        <v>1.46</v>
      </c>
      <c r="U1231">
        <v>1.21</v>
      </c>
      <c r="V1231">
        <v>1.65</v>
      </c>
      <c r="W1231">
        <v>3.5</v>
      </c>
      <c r="X1231">
        <v>1.2</v>
      </c>
      <c r="Y1231">
        <v>0.97</v>
      </c>
      <c r="Z1231">
        <v>0</v>
      </c>
      <c r="AA1231">
        <v>1.77</v>
      </c>
      <c r="AB1231">
        <v>3.01</v>
      </c>
      <c r="AC1231">
        <v>3.99</v>
      </c>
      <c r="AD1231">
        <v>0.16</v>
      </c>
      <c r="AE1231">
        <v>8.39</v>
      </c>
      <c r="AF1231">
        <v>2.8866666666666672</v>
      </c>
      <c r="AG1231" t="str">
        <f>HYPERLINK("https://finance.naver.com/item/fchart.naver?code=010040", "한국내화 차트보기")</f>
        <v>한국내화 차트보기</v>
      </c>
    </row>
    <row r="1232" spans="1:33" x14ac:dyDescent="0.3">
      <c r="A1232" t="s">
        <v>4955</v>
      </c>
      <c r="B1232" t="s">
        <v>34</v>
      </c>
      <c r="C1232" t="s">
        <v>4956</v>
      </c>
      <c r="D1232">
        <v>696436.9</v>
      </c>
      <c r="E1232" t="s">
        <v>4957</v>
      </c>
      <c r="F1232">
        <v>0</v>
      </c>
      <c r="G1232">
        <v>1.309999942779541</v>
      </c>
      <c r="H1232">
        <v>0</v>
      </c>
      <c r="I1232">
        <v>0.40999999642372131</v>
      </c>
      <c r="J1232" t="s">
        <v>4958</v>
      </c>
      <c r="K1232">
        <v>4815</v>
      </c>
      <c r="L1232">
        <v>3670</v>
      </c>
      <c r="M1232">
        <v>-23.78</v>
      </c>
      <c r="N1232">
        <v>8.58</v>
      </c>
      <c r="O1232">
        <v>1.67</v>
      </c>
      <c r="P1232">
        <v>-4.42</v>
      </c>
      <c r="Q1232">
        <v>-15.98</v>
      </c>
      <c r="R1232">
        <v>-8.94</v>
      </c>
      <c r="S1232">
        <v>-13.79</v>
      </c>
      <c r="T1232">
        <v>2.67</v>
      </c>
      <c r="U1232">
        <v>3.13</v>
      </c>
      <c r="V1232">
        <v>3.61</v>
      </c>
      <c r="W1232">
        <v>5.09</v>
      </c>
      <c r="X1232">
        <v>3.48</v>
      </c>
      <c r="Y1232">
        <v>2.0699999999999998</v>
      </c>
      <c r="Z1232">
        <v>3.21</v>
      </c>
      <c r="AA1232">
        <v>0.53</v>
      </c>
      <c r="AB1232">
        <v>1.22</v>
      </c>
      <c r="AC1232">
        <v>3.14</v>
      </c>
      <c r="AD1232">
        <v>2.57</v>
      </c>
      <c r="AE1232">
        <v>6.66</v>
      </c>
      <c r="AF1232">
        <v>2.8883333333333332</v>
      </c>
      <c r="AG1232" t="str">
        <f>HYPERLINK("https://finance.naver.com/item/fchart.naver?code=011700", "한신기계 차트보기")</f>
        <v>한신기계 차트보기</v>
      </c>
    </row>
    <row r="1233" spans="1:33" x14ac:dyDescent="0.3">
      <c r="A1233" t="s">
        <v>4959</v>
      </c>
      <c r="B1233" t="s">
        <v>55</v>
      </c>
      <c r="C1233" t="s">
        <v>4960</v>
      </c>
      <c r="D1233">
        <v>309428.33</v>
      </c>
      <c r="E1233" t="s">
        <v>4961</v>
      </c>
      <c r="F1233">
        <v>0</v>
      </c>
      <c r="G1233">
        <v>0.50999999046325684</v>
      </c>
      <c r="H1233">
        <v>0</v>
      </c>
      <c r="I1233">
        <v>3.3199999332427979</v>
      </c>
      <c r="J1233" t="s">
        <v>4962</v>
      </c>
      <c r="K1233">
        <v>5100</v>
      </c>
      <c r="L1233">
        <v>4515</v>
      </c>
      <c r="M1233">
        <v>-11.47</v>
      </c>
      <c r="N1233">
        <v>0.78</v>
      </c>
      <c r="O1233">
        <v>6.83</v>
      </c>
      <c r="P1233">
        <v>19.84</v>
      </c>
      <c r="Q1233">
        <v>-2.62</v>
      </c>
      <c r="R1233">
        <v>-10.55</v>
      </c>
      <c r="S1233">
        <v>-14.09</v>
      </c>
      <c r="T1233">
        <v>3.04</v>
      </c>
      <c r="U1233">
        <v>2.83</v>
      </c>
      <c r="V1233">
        <v>8.56</v>
      </c>
      <c r="W1233">
        <v>4.1500000000000004</v>
      </c>
      <c r="X1233">
        <v>1.77</v>
      </c>
      <c r="Y1233">
        <v>2.4500000000000002</v>
      </c>
      <c r="Z1233">
        <v>0.26</v>
      </c>
      <c r="AA1233">
        <v>2.41</v>
      </c>
      <c r="AB1233">
        <v>2.3199999999999998</v>
      </c>
      <c r="AC1233">
        <v>0.63</v>
      </c>
      <c r="AD1233">
        <v>5.96</v>
      </c>
      <c r="AE1233">
        <v>5.75</v>
      </c>
      <c r="AF1233">
        <v>2.8883333333333332</v>
      </c>
      <c r="AG1233" t="str">
        <f>HYPERLINK("https://finance.naver.com/item/fchart.naver?code=088130", "동아엘텍 차트보기")</f>
        <v>동아엘텍 차트보기</v>
      </c>
    </row>
    <row r="1234" spans="1:33" x14ac:dyDescent="0.3">
      <c r="A1234" t="s">
        <v>4963</v>
      </c>
      <c r="B1234" t="s">
        <v>55</v>
      </c>
      <c r="C1234" t="s">
        <v>4964</v>
      </c>
      <c r="D1234">
        <v>414602.67</v>
      </c>
      <c r="E1234" t="s">
        <v>4965</v>
      </c>
      <c r="F1234">
        <v>0</v>
      </c>
      <c r="G1234">
        <v>0.93999999761581421</v>
      </c>
      <c r="H1234">
        <v>0</v>
      </c>
      <c r="I1234">
        <v>0</v>
      </c>
      <c r="J1234" t="s">
        <v>4966</v>
      </c>
      <c r="K1234">
        <v>2763</v>
      </c>
      <c r="L1234">
        <v>2205</v>
      </c>
      <c r="M1234">
        <v>-20.2</v>
      </c>
      <c r="N1234">
        <v>-2.95</v>
      </c>
      <c r="O1234">
        <v>-5.35</v>
      </c>
      <c r="P1234">
        <v>-12.09</v>
      </c>
      <c r="Q1234">
        <v>-17.309999999999999</v>
      </c>
      <c r="R1234">
        <v>25.33</v>
      </c>
      <c r="S1234">
        <v>-27.23</v>
      </c>
      <c r="T1234">
        <v>5.48</v>
      </c>
      <c r="U1234">
        <v>10.61</v>
      </c>
      <c r="V1234">
        <v>2.79</v>
      </c>
      <c r="W1234">
        <v>3.6</v>
      </c>
      <c r="X1234">
        <v>8.1</v>
      </c>
      <c r="Y1234">
        <v>6.77</v>
      </c>
      <c r="Z1234">
        <v>0.54</v>
      </c>
      <c r="AA1234">
        <v>0.5</v>
      </c>
      <c r="AB1234">
        <v>4.33</v>
      </c>
      <c r="AC1234">
        <v>4.8099999999999996</v>
      </c>
      <c r="AD1234">
        <v>3.13</v>
      </c>
      <c r="AE1234">
        <v>4.0199999999999996</v>
      </c>
      <c r="AF1234">
        <v>2.8883333333333332</v>
      </c>
      <c r="AG1234" t="str">
        <f>HYPERLINK("https://finance.naver.com/item/fchart.naver?code=043100", "알파녹스 차트보기")</f>
        <v>알파녹스 차트보기</v>
      </c>
    </row>
    <row r="1235" spans="1:33" x14ac:dyDescent="0.3">
      <c r="A1235" t="s">
        <v>4967</v>
      </c>
      <c r="B1235" t="s">
        <v>34</v>
      </c>
      <c r="C1235" t="s">
        <v>4968</v>
      </c>
      <c r="D1235">
        <v>10711.24</v>
      </c>
      <c r="E1235" t="s">
        <v>4969</v>
      </c>
      <c r="F1235">
        <v>0</v>
      </c>
      <c r="G1235">
        <v>0.20000000298023221</v>
      </c>
      <c r="H1235">
        <v>0</v>
      </c>
      <c r="I1235">
        <v>2.059999942779541</v>
      </c>
      <c r="J1235" t="s">
        <v>4970</v>
      </c>
      <c r="K1235">
        <v>7980</v>
      </c>
      <c r="L1235">
        <v>6060</v>
      </c>
      <c r="M1235">
        <v>-24.06</v>
      </c>
      <c r="N1235">
        <v>-3.19</v>
      </c>
      <c r="O1235">
        <v>2.99</v>
      </c>
      <c r="P1235">
        <v>-6.42</v>
      </c>
      <c r="Q1235">
        <v>-4.6500000000000004</v>
      </c>
      <c r="R1235">
        <v>-8.27</v>
      </c>
      <c r="S1235">
        <v>2.1</v>
      </c>
      <c r="T1235">
        <v>1.04</v>
      </c>
      <c r="U1235">
        <v>3.27</v>
      </c>
      <c r="V1235">
        <v>2.72</v>
      </c>
      <c r="W1235">
        <v>4.0599999999999996</v>
      </c>
      <c r="X1235">
        <v>1.04</v>
      </c>
      <c r="Y1235">
        <v>1.1100000000000001</v>
      </c>
      <c r="Z1235">
        <v>3.07</v>
      </c>
      <c r="AA1235">
        <v>0.91</v>
      </c>
      <c r="AB1235">
        <v>2.36</v>
      </c>
      <c r="AC1235">
        <v>1.1499999999999999</v>
      </c>
      <c r="AD1235">
        <v>7.95</v>
      </c>
      <c r="AE1235">
        <v>1.89</v>
      </c>
      <c r="AF1235">
        <v>2.8883333333333341</v>
      </c>
      <c r="AG1235" t="str">
        <f>HYPERLINK("https://finance.naver.com/item/fchart.naver?code=000050", "경방 차트보기")</f>
        <v>경방 차트보기</v>
      </c>
    </row>
    <row r="1236" spans="1:33" x14ac:dyDescent="0.3">
      <c r="A1236" t="s">
        <v>4971</v>
      </c>
      <c r="B1236" t="s">
        <v>55</v>
      </c>
      <c r="C1236" t="s">
        <v>4972</v>
      </c>
      <c r="D1236">
        <v>2620506.7599999998</v>
      </c>
      <c r="E1236" t="s">
        <v>4973</v>
      </c>
      <c r="F1236">
        <v>0</v>
      </c>
      <c r="G1236">
        <v>0</v>
      </c>
      <c r="H1236">
        <v>0</v>
      </c>
      <c r="I1236">
        <v>0</v>
      </c>
      <c r="J1236" t="s">
        <v>4974</v>
      </c>
      <c r="K1236">
        <v>4655</v>
      </c>
      <c r="L1236">
        <v>3005</v>
      </c>
      <c r="M1236">
        <v>-35.450000000000003</v>
      </c>
      <c r="N1236">
        <v>-20.5</v>
      </c>
      <c r="O1236">
        <v>11.34</v>
      </c>
      <c r="P1236">
        <v>-13.98</v>
      </c>
      <c r="Q1236">
        <v>-22.5</v>
      </c>
      <c r="R1236">
        <v>-6.79</v>
      </c>
      <c r="S1236">
        <v>-4.47</v>
      </c>
      <c r="T1236">
        <v>3.48</v>
      </c>
      <c r="U1236">
        <v>3.95</v>
      </c>
      <c r="V1236">
        <v>5.98</v>
      </c>
      <c r="W1236">
        <v>4.7300000000000004</v>
      </c>
      <c r="X1236">
        <v>6.12</v>
      </c>
      <c r="Y1236">
        <v>12.21</v>
      </c>
      <c r="Z1236">
        <v>5.89</v>
      </c>
      <c r="AA1236">
        <v>2.87</v>
      </c>
      <c r="AB1236">
        <v>2.34</v>
      </c>
      <c r="AC1236">
        <v>4.76</v>
      </c>
      <c r="AD1236">
        <v>1.1100000000000001</v>
      </c>
      <c r="AE1236">
        <v>0.37</v>
      </c>
      <c r="AF1236">
        <v>2.89</v>
      </c>
      <c r="AG1236" t="str">
        <f>HYPERLINK("https://finance.naver.com/item/fchart.naver?code=140430", "카티스 차트보기")</f>
        <v>카티스 차트보기</v>
      </c>
    </row>
    <row r="1237" spans="1:33" x14ac:dyDescent="0.3">
      <c r="A1237" t="s">
        <v>4975</v>
      </c>
      <c r="B1237" t="s">
        <v>55</v>
      </c>
      <c r="C1237" t="s">
        <v>4976</v>
      </c>
      <c r="D1237">
        <v>13974.19</v>
      </c>
      <c r="E1237" t="s">
        <v>4977</v>
      </c>
      <c r="F1237">
        <v>0</v>
      </c>
      <c r="G1237">
        <v>0</v>
      </c>
      <c r="H1237">
        <v>0</v>
      </c>
      <c r="I1237">
        <v>0</v>
      </c>
      <c r="J1237" t="s">
        <v>4978</v>
      </c>
      <c r="K1237">
        <v>2015</v>
      </c>
      <c r="L1237">
        <v>2075</v>
      </c>
      <c r="M1237">
        <v>2.98</v>
      </c>
      <c r="N1237">
        <v>1.47</v>
      </c>
      <c r="O1237">
        <v>0</v>
      </c>
      <c r="P1237">
        <v>-0.73</v>
      </c>
      <c r="Q1237">
        <v>-2.38</v>
      </c>
      <c r="R1237">
        <v>4.7300000000000004</v>
      </c>
      <c r="S1237">
        <v>-0.25</v>
      </c>
      <c r="T1237">
        <v>0.75</v>
      </c>
      <c r="U1237">
        <v>0.65</v>
      </c>
      <c r="V1237">
        <v>0.52</v>
      </c>
      <c r="W1237">
        <v>0.43</v>
      </c>
      <c r="X1237">
        <v>0.6</v>
      </c>
      <c r="Y1237">
        <v>0.44</v>
      </c>
      <c r="Z1237">
        <v>1.96</v>
      </c>
      <c r="AA1237">
        <v>0</v>
      </c>
      <c r="AB1237">
        <v>1.4</v>
      </c>
      <c r="AC1237">
        <v>5.53</v>
      </c>
      <c r="AD1237">
        <v>7.88</v>
      </c>
      <c r="AE1237">
        <v>0.56999999999999995</v>
      </c>
      <c r="AF1237">
        <v>2.89</v>
      </c>
      <c r="AG1237" t="str">
        <f>HYPERLINK("https://finance.naver.com/item/fchart.naver?code=478390", "KB제29호스팩 차트보기")</f>
        <v>KB제29호스팩 차트보기</v>
      </c>
    </row>
    <row r="1238" spans="1:33" x14ac:dyDescent="0.3">
      <c r="A1238" t="s">
        <v>4979</v>
      </c>
      <c r="B1238" t="s">
        <v>55</v>
      </c>
      <c r="C1238" t="s">
        <v>4980</v>
      </c>
      <c r="D1238">
        <v>256782.05</v>
      </c>
      <c r="E1238" t="s">
        <v>4981</v>
      </c>
      <c r="F1238">
        <v>0</v>
      </c>
      <c r="G1238">
        <v>5.1100001335144043</v>
      </c>
      <c r="H1238">
        <v>0</v>
      </c>
      <c r="I1238">
        <v>0</v>
      </c>
      <c r="J1238" t="s">
        <v>4982</v>
      </c>
      <c r="K1238">
        <v>8320</v>
      </c>
      <c r="L1238">
        <v>5300</v>
      </c>
      <c r="M1238">
        <v>-36.299999999999997</v>
      </c>
      <c r="N1238">
        <v>-3.64</v>
      </c>
      <c r="O1238">
        <v>-1.86</v>
      </c>
      <c r="P1238">
        <v>-4.59</v>
      </c>
      <c r="Q1238">
        <v>-7.5</v>
      </c>
      <c r="R1238">
        <v>-11.21</v>
      </c>
      <c r="S1238">
        <v>-9.09</v>
      </c>
      <c r="T1238">
        <v>3.11</v>
      </c>
      <c r="U1238">
        <v>2.58</v>
      </c>
      <c r="V1238">
        <v>2.66</v>
      </c>
      <c r="W1238">
        <v>3.75</v>
      </c>
      <c r="X1238">
        <v>2.29</v>
      </c>
      <c r="Y1238">
        <v>1.33</v>
      </c>
      <c r="Z1238">
        <v>1.17</v>
      </c>
      <c r="AA1238">
        <v>0.72</v>
      </c>
      <c r="AB1238">
        <v>1.73</v>
      </c>
      <c r="AC1238">
        <v>2</v>
      </c>
      <c r="AD1238">
        <v>4.9000000000000004</v>
      </c>
      <c r="AE1238">
        <v>6.83</v>
      </c>
      <c r="AF1238">
        <v>2.8916666666666671</v>
      </c>
      <c r="AG1238" t="str">
        <f>HYPERLINK("https://finance.naver.com/item/fchart.naver?code=056080", "유진로봇 차트보기")</f>
        <v>유진로봇 차트보기</v>
      </c>
    </row>
    <row r="1239" spans="1:33" x14ac:dyDescent="0.3">
      <c r="A1239" t="s">
        <v>4983</v>
      </c>
      <c r="B1239" t="s">
        <v>55</v>
      </c>
      <c r="C1239" t="s">
        <v>4984</v>
      </c>
      <c r="D1239">
        <v>372836.62</v>
      </c>
      <c r="E1239" t="s">
        <v>4985</v>
      </c>
      <c r="F1239">
        <v>33.479999999999997</v>
      </c>
      <c r="G1239">
        <v>0.98000001907348633</v>
      </c>
      <c r="H1239">
        <v>46</v>
      </c>
      <c r="I1239">
        <v>0</v>
      </c>
      <c r="J1239" t="s">
        <v>4986</v>
      </c>
      <c r="K1239">
        <v>2060</v>
      </c>
      <c r="L1239">
        <v>1540</v>
      </c>
      <c r="M1239">
        <v>-25.24</v>
      </c>
      <c r="N1239">
        <v>6.13</v>
      </c>
      <c r="O1239">
        <v>-0.67</v>
      </c>
      <c r="P1239">
        <v>-3.78</v>
      </c>
      <c r="Q1239">
        <v>-8.92</v>
      </c>
      <c r="R1239">
        <v>-20.41</v>
      </c>
      <c r="S1239">
        <v>-16.27</v>
      </c>
      <c r="T1239">
        <v>2.2200000000000002</v>
      </c>
      <c r="U1239">
        <v>2.25</v>
      </c>
      <c r="V1239">
        <v>1.85</v>
      </c>
      <c r="W1239">
        <v>3.48</v>
      </c>
      <c r="X1239">
        <v>3.47</v>
      </c>
      <c r="Y1239">
        <v>4.26</v>
      </c>
      <c r="Z1239">
        <v>2.76</v>
      </c>
      <c r="AA1239">
        <v>0.3</v>
      </c>
      <c r="AB1239">
        <v>2.04</v>
      </c>
      <c r="AC1239">
        <v>2.56</v>
      </c>
      <c r="AD1239">
        <v>5.88</v>
      </c>
      <c r="AE1239">
        <v>3.82</v>
      </c>
      <c r="AF1239">
        <v>2.8933333333333331</v>
      </c>
      <c r="AG1239" t="str">
        <f>HYPERLINK("https://finance.naver.com/item/fchart.naver?code=027830", "대성창투 차트보기")</f>
        <v>대성창투 차트보기</v>
      </c>
    </row>
    <row r="1240" spans="1:33" x14ac:dyDescent="0.3">
      <c r="A1240" t="s">
        <v>4987</v>
      </c>
      <c r="B1240" t="s">
        <v>55</v>
      </c>
      <c r="C1240" t="s">
        <v>4988</v>
      </c>
      <c r="D1240">
        <v>169151.48</v>
      </c>
      <c r="E1240" t="s">
        <v>4989</v>
      </c>
      <c r="F1240">
        <v>0</v>
      </c>
      <c r="G1240">
        <v>1.690000057220459</v>
      </c>
      <c r="H1240">
        <v>0</v>
      </c>
      <c r="I1240">
        <v>0</v>
      </c>
      <c r="J1240" t="s">
        <v>4990</v>
      </c>
      <c r="K1240">
        <v>1336</v>
      </c>
      <c r="L1240">
        <v>1023</v>
      </c>
      <c r="M1240">
        <v>-23.43</v>
      </c>
      <c r="N1240">
        <v>-0.87</v>
      </c>
      <c r="O1240">
        <v>-4.95</v>
      </c>
      <c r="P1240">
        <v>11.02</v>
      </c>
      <c r="Q1240">
        <v>-18.53</v>
      </c>
      <c r="R1240">
        <v>3.6</v>
      </c>
      <c r="S1240">
        <v>-5.9</v>
      </c>
      <c r="T1240">
        <v>0.77</v>
      </c>
      <c r="U1240">
        <v>2.4</v>
      </c>
      <c r="V1240">
        <v>7.74</v>
      </c>
      <c r="W1240">
        <v>2.78</v>
      </c>
      <c r="X1240">
        <v>2.64</v>
      </c>
      <c r="Y1240">
        <v>1.25</v>
      </c>
      <c r="Z1240">
        <v>1.1299999999999999</v>
      </c>
      <c r="AA1240">
        <v>2.06</v>
      </c>
      <c r="AB1240">
        <v>1.42</v>
      </c>
      <c r="AC1240">
        <v>6.67</v>
      </c>
      <c r="AD1240">
        <v>1.36</v>
      </c>
      <c r="AE1240">
        <v>4.72</v>
      </c>
      <c r="AF1240">
        <v>2.8933333333333331</v>
      </c>
      <c r="AG1240" t="str">
        <f>HYPERLINK("https://finance.naver.com/item/fchart.naver?code=001000", "신라섬유 차트보기")</f>
        <v>신라섬유 차트보기</v>
      </c>
    </row>
    <row r="1241" spans="1:33" x14ac:dyDescent="0.3">
      <c r="A1241" t="s">
        <v>4991</v>
      </c>
      <c r="B1241" t="s">
        <v>34</v>
      </c>
      <c r="C1241" t="s">
        <v>4992</v>
      </c>
      <c r="D1241">
        <v>21462.1</v>
      </c>
      <c r="E1241" t="s">
        <v>4993</v>
      </c>
      <c r="F1241">
        <v>4.6100000000000003</v>
      </c>
      <c r="G1241">
        <v>0.2800000011920929</v>
      </c>
      <c r="H1241">
        <v>3907</v>
      </c>
      <c r="I1241">
        <v>1.440000057220459</v>
      </c>
      <c r="J1241" t="s">
        <v>4994</v>
      </c>
      <c r="K1241">
        <v>23150</v>
      </c>
      <c r="L1241">
        <v>18000</v>
      </c>
      <c r="M1241">
        <v>-22.25</v>
      </c>
      <c r="N1241">
        <v>-4.41</v>
      </c>
      <c r="O1241">
        <v>-7.98</v>
      </c>
      <c r="P1241">
        <v>9.0500000000000007</v>
      </c>
      <c r="Q1241">
        <v>-7.86</v>
      </c>
      <c r="R1241">
        <v>0</v>
      </c>
      <c r="S1241">
        <v>-4.8499999999999996</v>
      </c>
      <c r="T1241">
        <v>1.32</v>
      </c>
      <c r="U1241">
        <v>1.25</v>
      </c>
      <c r="V1241">
        <v>2.82</v>
      </c>
      <c r="W1241">
        <v>3.3</v>
      </c>
      <c r="X1241">
        <v>2.59</v>
      </c>
      <c r="Y1241">
        <v>2.37</v>
      </c>
      <c r="Z1241">
        <v>3.34</v>
      </c>
      <c r="AA1241">
        <v>6.38</v>
      </c>
      <c r="AB1241">
        <v>3.21</v>
      </c>
      <c r="AC1241">
        <v>2.38</v>
      </c>
      <c r="AD1241">
        <v>0</v>
      </c>
      <c r="AE1241">
        <v>2.0499999999999998</v>
      </c>
      <c r="AF1241">
        <v>2.8933333333333331</v>
      </c>
      <c r="AG1241" t="str">
        <f>HYPERLINK("https://finance.naver.com/item/fchart.naver?code=029460", "케이씨 차트보기")</f>
        <v>케이씨 차트보기</v>
      </c>
    </row>
    <row r="1242" spans="1:33" x14ac:dyDescent="0.3">
      <c r="A1242" t="s">
        <v>4995</v>
      </c>
      <c r="B1242" t="s">
        <v>55</v>
      </c>
      <c r="C1242" t="s">
        <v>4996</v>
      </c>
      <c r="D1242">
        <v>21179.38</v>
      </c>
      <c r="E1242" t="s">
        <v>4997</v>
      </c>
      <c r="F1242">
        <v>17.87</v>
      </c>
      <c r="G1242">
        <v>0.67000001668930054</v>
      </c>
      <c r="H1242">
        <v>167</v>
      </c>
      <c r="I1242">
        <v>1.679999947547913</v>
      </c>
      <c r="J1242" t="s">
        <v>4998</v>
      </c>
      <c r="K1242">
        <v>3325</v>
      </c>
      <c r="L1242">
        <v>2985</v>
      </c>
      <c r="M1242">
        <v>-10.23</v>
      </c>
      <c r="N1242">
        <v>6.23</v>
      </c>
      <c r="O1242">
        <v>-2.27</v>
      </c>
      <c r="P1242">
        <v>1.58</v>
      </c>
      <c r="Q1242">
        <v>-4.57</v>
      </c>
      <c r="R1242">
        <v>-5.98</v>
      </c>
      <c r="S1242">
        <v>-3.74</v>
      </c>
      <c r="T1242">
        <v>1.96</v>
      </c>
      <c r="U1242">
        <v>0.79</v>
      </c>
      <c r="V1242">
        <v>2.5099999999999998</v>
      </c>
      <c r="W1242">
        <v>4.0999999999999996</v>
      </c>
      <c r="X1242">
        <v>1</v>
      </c>
      <c r="Y1242">
        <v>1.04</v>
      </c>
      <c r="Z1242">
        <v>3.18</v>
      </c>
      <c r="AA1242">
        <v>2.87</v>
      </c>
      <c r="AB1242">
        <v>0.63</v>
      </c>
      <c r="AC1242">
        <v>1.1100000000000001</v>
      </c>
      <c r="AD1242">
        <v>5.98</v>
      </c>
      <c r="AE1242">
        <v>3.6</v>
      </c>
      <c r="AF1242">
        <v>2.895</v>
      </c>
      <c r="AG1242" t="str">
        <f>HYPERLINK("https://finance.naver.com/item/fchart.naver?code=035200", "프럼파스트 차트보기")</f>
        <v>프럼파스트 차트보기</v>
      </c>
    </row>
    <row r="1243" spans="1:33" x14ac:dyDescent="0.3">
      <c r="A1243" t="s">
        <v>4999</v>
      </c>
      <c r="B1243" t="s">
        <v>55</v>
      </c>
      <c r="C1243" t="s">
        <v>5000</v>
      </c>
      <c r="D1243">
        <v>39552.86</v>
      </c>
      <c r="E1243" t="s">
        <v>5001</v>
      </c>
      <c r="F1243">
        <v>10.88</v>
      </c>
      <c r="G1243">
        <v>0.8399999737739563</v>
      </c>
      <c r="H1243">
        <v>238</v>
      </c>
      <c r="I1243">
        <v>2.7000000476837158</v>
      </c>
      <c r="J1243" t="s">
        <v>5002</v>
      </c>
      <c r="K1243">
        <v>3220</v>
      </c>
      <c r="L1243">
        <v>2590</v>
      </c>
      <c r="M1243">
        <v>-19.57</v>
      </c>
      <c r="N1243">
        <v>-1.1499999999999999</v>
      </c>
      <c r="O1243">
        <v>3.35</v>
      </c>
      <c r="P1243">
        <v>0.38</v>
      </c>
      <c r="Q1243">
        <v>-9.84</v>
      </c>
      <c r="R1243">
        <v>5.87</v>
      </c>
      <c r="S1243">
        <v>-7.86</v>
      </c>
      <c r="T1243">
        <v>1.1000000000000001</v>
      </c>
      <c r="U1243">
        <v>2.4</v>
      </c>
      <c r="V1243">
        <v>0.94</v>
      </c>
      <c r="W1243">
        <v>3.08</v>
      </c>
      <c r="X1243">
        <v>6.79</v>
      </c>
      <c r="Y1243">
        <v>0.75</v>
      </c>
      <c r="Z1243">
        <v>1.05</v>
      </c>
      <c r="AA1243">
        <v>1.4</v>
      </c>
      <c r="AB1243">
        <v>0.4</v>
      </c>
      <c r="AC1243">
        <v>3.19</v>
      </c>
      <c r="AD1243">
        <v>0.86</v>
      </c>
      <c r="AE1243">
        <v>10.48</v>
      </c>
      <c r="AF1243">
        <v>2.8966666666666669</v>
      </c>
      <c r="AG1243" t="str">
        <f>HYPERLINK("https://finance.naver.com/item/fchart.naver?code=203450", "유니온커뮤니티 차트보기")</f>
        <v>유니온커뮤니티 차트보기</v>
      </c>
    </row>
    <row r="1244" spans="1:33" x14ac:dyDescent="0.3">
      <c r="A1244" t="s">
        <v>5003</v>
      </c>
      <c r="B1244" t="s">
        <v>55</v>
      </c>
      <c r="C1244" t="s">
        <v>5004</v>
      </c>
      <c r="D1244">
        <v>69744.67</v>
      </c>
      <c r="E1244" t="s">
        <v>5005</v>
      </c>
      <c r="F1244">
        <v>0</v>
      </c>
      <c r="G1244">
        <v>1.940000057220459</v>
      </c>
      <c r="H1244">
        <v>0</v>
      </c>
      <c r="I1244">
        <v>0</v>
      </c>
      <c r="J1244" t="s">
        <v>5006</v>
      </c>
      <c r="K1244">
        <v>40450</v>
      </c>
      <c r="L1244">
        <v>16260</v>
      </c>
      <c r="M1244">
        <v>-59.8</v>
      </c>
      <c r="N1244">
        <v>-12.72</v>
      </c>
      <c r="O1244">
        <v>-0.05</v>
      </c>
      <c r="P1244">
        <v>-10.45</v>
      </c>
      <c r="Q1244">
        <v>10.85</v>
      </c>
      <c r="R1244">
        <v>-12.53</v>
      </c>
      <c r="S1244">
        <v>-17.43</v>
      </c>
      <c r="T1244">
        <v>2.44</v>
      </c>
      <c r="U1244">
        <v>3.76</v>
      </c>
      <c r="V1244">
        <v>3.62</v>
      </c>
      <c r="W1244">
        <v>5.54</v>
      </c>
      <c r="X1244">
        <v>4.0999999999999996</v>
      </c>
      <c r="Y1244">
        <v>4.09</v>
      </c>
      <c r="Z1244">
        <v>5.21</v>
      </c>
      <c r="AA1244">
        <v>0.01</v>
      </c>
      <c r="AB1244">
        <v>2.89</v>
      </c>
      <c r="AC1244">
        <v>1.96</v>
      </c>
      <c r="AD1244">
        <v>3.06</v>
      </c>
      <c r="AE1244">
        <v>4.26</v>
      </c>
      <c r="AF1244">
        <v>2.898333333333333</v>
      </c>
      <c r="AG1244" t="str">
        <f>HYPERLINK("https://finance.naver.com/item/fchart.naver?code=219130", "타이거일렉 차트보기")</f>
        <v>타이거일렉 차트보기</v>
      </c>
    </row>
    <row r="1245" spans="1:33" x14ac:dyDescent="0.3">
      <c r="A1245" t="s">
        <v>5007</v>
      </c>
      <c r="B1245" t="s">
        <v>55</v>
      </c>
      <c r="C1245" t="s">
        <v>5008</v>
      </c>
      <c r="D1245">
        <v>29164.43</v>
      </c>
      <c r="E1245" t="s">
        <v>5009</v>
      </c>
      <c r="F1245">
        <v>0</v>
      </c>
      <c r="G1245">
        <v>3.2000000476837158</v>
      </c>
      <c r="H1245">
        <v>0</v>
      </c>
      <c r="I1245">
        <v>0</v>
      </c>
      <c r="J1245" t="s">
        <v>5010</v>
      </c>
      <c r="K1245">
        <v>28750</v>
      </c>
      <c r="L1245">
        <v>11310</v>
      </c>
      <c r="M1245">
        <v>-60.66</v>
      </c>
      <c r="N1245">
        <v>4.72</v>
      </c>
      <c r="O1245">
        <v>-7.63</v>
      </c>
      <c r="P1245">
        <v>-15.21</v>
      </c>
      <c r="Q1245">
        <v>2.85</v>
      </c>
      <c r="R1245">
        <v>-16.25</v>
      </c>
      <c r="S1245">
        <v>-13.75</v>
      </c>
      <c r="T1245">
        <v>4.0999999999999996</v>
      </c>
      <c r="U1245">
        <v>3.45</v>
      </c>
      <c r="V1245">
        <v>4.57</v>
      </c>
      <c r="W1245">
        <v>9.02</v>
      </c>
      <c r="X1245">
        <v>2.69</v>
      </c>
      <c r="Y1245">
        <v>3.17</v>
      </c>
      <c r="Z1245">
        <v>1.1499999999999999</v>
      </c>
      <c r="AA1245">
        <v>2.21</v>
      </c>
      <c r="AB1245">
        <v>3.33</v>
      </c>
      <c r="AC1245">
        <v>0.32</v>
      </c>
      <c r="AD1245">
        <v>6.04</v>
      </c>
      <c r="AE1245">
        <v>4.34</v>
      </c>
      <c r="AF1245">
        <v>2.898333333333333</v>
      </c>
      <c r="AG1245" t="str">
        <f>HYPERLINK("https://finance.naver.com/item/fchart.naver?code=355390", "크라우드웍스 차트보기")</f>
        <v>크라우드웍스 차트보기</v>
      </c>
    </row>
    <row r="1246" spans="1:33" x14ac:dyDescent="0.3">
      <c r="A1246" t="s">
        <v>5011</v>
      </c>
      <c r="B1246" t="s">
        <v>34</v>
      </c>
      <c r="C1246" t="s">
        <v>5012</v>
      </c>
      <c r="D1246">
        <v>274106.19</v>
      </c>
      <c r="E1246" t="s">
        <v>5013</v>
      </c>
      <c r="F1246">
        <v>13.92</v>
      </c>
      <c r="G1246">
        <v>0.43999999761581421</v>
      </c>
      <c r="H1246">
        <v>22382</v>
      </c>
      <c r="I1246">
        <v>3.2100000381469731</v>
      </c>
      <c r="J1246" t="s">
        <v>5014</v>
      </c>
      <c r="K1246">
        <v>402500</v>
      </c>
      <c r="L1246">
        <v>311500</v>
      </c>
      <c r="M1246">
        <v>-22.61</v>
      </c>
      <c r="N1246">
        <v>-7.57</v>
      </c>
      <c r="O1246">
        <v>-10.65</v>
      </c>
      <c r="P1246">
        <v>6.94</v>
      </c>
      <c r="Q1246">
        <v>-6.21</v>
      </c>
      <c r="R1246">
        <v>-5.13</v>
      </c>
      <c r="S1246">
        <v>-2.94</v>
      </c>
      <c r="T1246">
        <v>2.65</v>
      </c>
      <c r="U1246">
        <v>1.98</v>
      </c>
      <c r="V1246">
        <v>2.6</v>
      </c>
      <c r="W1246">
        <v>3.53</v>
      </c>
      <c r="X1246">
        <v>2.14</v>
      </c>
      <c r="Y1246">
        <v>1.26</v>
      </c>
      <c r="Z1246">
        <v>2.86</v>
      </c>
      <c r="AA1246">
        <v>5.38</v>
      </c>
      <c r="AB1246">
        <v>2.67</v>
      </c>
      <c r="AC1246">
        <v>1.76</v>
      </c>
      <c r="AD1246">
        <v>2.4</v>
      </c>
      <c r="AE1246">
        <v>2.33</v>
      </c>
      <c r="AF1246">
        <v>2.9</v>
      </c>
      <c r="AG1246" t="str">
        <f>HYPERLINK("https://finance.naver.com/item/fchart.naver?code=005490", "POSCO홀딩스 차트보기")</f>
        <v>POSCO홀딩스 차트보기</v>
      </c>
    </row>
    <row r="1247" spans="1:33" x14ac:dyDescent="0.3">
      <c r="A1247" t="s">
        <v>5015</v>
      </c>
      <c r="B1247" t="s">
        <v>55</v>
      </c>
      <c r="C1247" t="s">
        <v>5016</v>
      </c>
      <c r="D1247">
        <v>17280.52</v>
      </c>
      <c r="E1247" t="s">
        <v>5017</v>
      </c>
      <c r="F1247">
        <v>7.66</v>
      </c>
      <c r="G1247">
        <v>0.38999998569488531</v>
      </c>
      <c r="H1247">
        <v>561</v>
      </c>
      <c r="I1247">
        <v>0</v>
      </c>
      <c r="J1247" t="s">
        <v>5018</v>
      </c>
      <c r="K1247">
        <v>6530</v>
      </c>
      <c r="L1247">
        <v>4300</v>
      </c>
      <c r="M1247">
        <v>-34.15</v>
      </c>
      <c r="N1247">
        <v>-0.81</v>
      </c>
      <c r="O1247">
        <v>-9.6300000000000008</v>
      </c>
      <c r="P1247">
        <v>0.21</v>
      </c>
      <c r="Q1247">
        <v>-13.91</v>
      </c>
      <c r="R1247">
        <v>-8.59</v>
      </c>
      <c r="S1247">
        <v>-0.49</v>
      </c>
      <c r="T1247">
        <v>1.4</v>
      </c>
      <c r="U1247">
        <v>0.94</v>
      </c>
      <c r="V1247">
        <v>1.73</v>
      </c>
      <c r="W1247">
        <v>4.29</v>
      </c>
      <c r="X1247">
        <v>2.87</v>
      </c>
      <c r="Y1247">
        <v>2.1</v>
      </c>
      <c r="Z1247">
        <v>0.57999999999999996</v>
      </c>
      <c r="AA1247">
        <v>10.24</v>
      </c>
      <c r="AB1247">
        <v>0.12</v>
      </c>
      <c r="AC1247">
        <v>3.24</v>
      </c>
      <c r="AD1247">
        <v>2.99</v>
      </c>
      <c r="AE1247">
        <v>0.23</v>
      </c>
      <c r="AF1247">
        <v>2.9</v>
      </c>
      <c r="AG1247" t="str">
        <f>HYPERLINK("https://finance.naver.com/item/fchart.naver?code=237750", "피앤씨테크 차트보기")</f>
        <v>피앤씨테크 차트보기</v>
      </c>
    </row>
    <row r="1248" spans="1:33" x14ac:dyDescent="0.3">
      <c r="A1248" t="s">
        <v>5019</v>
      </c>
      <c r="B1248" t="s">
        <v>55</v>
      </c>
      <c r="C1248" t="s">
        <v>5020</v>
      </c>
      <c r="D1248">
        <v>71278.429999999993</v>
      </c>
      <c r="E1248" t="s">
        <v>5021</v>
      </c>
      <c r="F1248">
        <v>14.53</v>
      </c>
      <c r="G1248">
        <v>0.93000000715255737</v>
      </c>
      <c r="H1248">
        <v>160</v>
      </c>
      <c r="I1248">
        <v>1.2899999618530269</v>
      </c>
      <c r="J1248" t="s">
        <v>5022</v>
      </c>
      <c r="K1248">
        <v>3000</v>
      </c>
      <c r="L1248">
        <v>2325</v>
      </c>
      <c r="M1248">
        <v>-22.5</v>
      </c>
      <c r="N1248">
        <v>-2.72</v>
      </c>
      <c r="O1248">
        <v>-7.12</v>
      </c>
      <c r="P1248">
        <v>0.56999999999999995</v>
      </c>
      <c r="Q1248">
        <v>-13.38</v>
      </c>
      <c r="R1248">
        <v>-9.6300000000000008</v>
      </c>
      <c r="S1248">
        <v>11.46</v>
      </c>
      <c r="T1248">
        <v>1.39</v>
      </c>
      <c r="U1248">
        <v>1.29</v>
      </c>
      <c r="V1248">
        <v>3.34</v>
      </c>
      <c r="W1248">
        <v>4.68</v>
      </c>
      <c r="X1248">
        <v>2.27</v>
      </c>
      <c r="Y1248">
        <v>4.3099999999999996</v>
      </c>
      <c r="Z1248">
        <v>1.96</v>
      </c>
      <c r="AA1248">
        <v>5.52</v>
      </c>
      <c r="AB1248">
        <v>0.17</v>
      </c>
      <c r="AC1248">
        <v>2.86</v>
      </c>
      <c r="AD1248">
        <v>4.24</v>
      </c>
      <c r="AE1248">
        <v>2.66</v>
      </c>
      <c r="AF1248">
        <v>2.9016666666666668</v>
      </c>
      <c r="AG1248" t="str">
        <f>HYPERLINK("https://finance.naver.com/item/fchart.naver?code=347740", "피엔케이피부임상연구센타 차트보기")</f>
        <v>피엔케이피부임상연구센타 차트보기</v>
      </c>
    </row>
    <row r="1249" spans="1:33" x14ac:dyDescent="0.3">
      <c r="A1249" t="s">
        <v>5023</v>
      </c>
      <c r="B1249" t="s">
        <v>55</v>
      </c>
      <c r="C1249" t="s">
        <v>5024</v>
      </c>
      <c r="D1249">
        <v>5338041.33</v>
      </c>
      <c r="E1249" t="s">
        <v>5025</v>
      </c>
      <c r="F1249">
        <v>0</v>
      </c>
      <c r="G1249">
        <v>0.68000000715255737</v>
      </c>
      <c r="H1249">
        <v>0</v>
      </c>
      <c r="I1249">
        <v>0</v>
      </c>
      <c r="J1249" t="s">
        <v>5026</v>
      </c>
      <c r="K1249">
        <v>4270</v>
      </c>
      <c r="L1249">
        <v>3795</v>
      </c>
      <c r="M1249">
        <v>-11.12</v>
      </c>
      <c r="N1249">
        <v>-8.5500000000000007</v>
      </c>
      <c r="O1249">
        <v>21.58</v>
      </c>
      <c r="P1249">
        <v>0.31</v>
      </c>
      <c r="Q1249">
        <v>-12.17</v>
      </c>
      <c r="R1249">
        <v>-3.42</v>
      </c>
      <c r="S1249">
        <v>-8.4600000000000009</v>
      </c>
      <c r="T1249">
        <v>3.61</v>
      </c>
      <c r="U1249">
        <v>8.7200000000000006</v>
      </c>
      <c r="V1249">
        <v>7.95</v>
      </c>
      <c r="W1249">
        <v>4.45</v>
      </c>
      <c r="X1249">
        <v>1.62</v>
      </c>
      <c r="Y1249">
        <v>1.1000000000000001</v>
      </c>
      <c r="Z1249">
        <v>2.37</v>
      </c>
      <c r="AA1249">
        <v>2.4700000000000002</v>
      </c>
      <c r="AB1249">
        <v>0.04</v>
      </c>
      <c r="AC1249">
        <v>2.73</v>
      </c>
      <c r="AD1249">
        <v>2.11</v>
      </c>
      <c r="AE1249">
        <v>7.69</v>
      </c>
      <c r="AF1249">
        <v>2.9016666666666668</v>
      </c>
      <c r="AG1249" t="str">
        <f>HYPERLINK("https://finance.naver.com/item/fchart.naver?code=033320", "제이씨현시스템 차트보기")</f>
        <v>제이씨현시스템 차트보기</v>
      </c>
    </row>
    <row r="1250" spans="1:33" x14ac:dyDescent="0.3">
      <c r="A1250" t="s">
        <v>5027</v>
      </c>
      <c r="B1250" t="s">
        <v>34</v>
      </c>
      <c r="C1250" t="s">
        <v>5028</v>
      </c>
      <c r="D1250">
        <v>82637</v>
      </c>
      <c r="E1250" t="s">
        <v>5029</v>
      </c>
      <c r="F1250">
        <v>2.9</v>
      </c>
      <c r="G1250">
        <v>0.69999998807907104</v>
      </c>
      <c r="H1250">
        <v>6386</v>
      </c>
      <c r="I1250">
        <v>3.2400000095367432</v>
      </c>
      <c r="J1250" t="s">
        <v>5030</v>
      </c>
      <c r="K1250">
        <v>16824</v>
      </c>
      <c r="L1250">
        <v>18490</v>
      </c>
      <c r="M1250">
        <v>9.9</v>
      </c>
      <c r="N1250">
        <v>-2.12</v>
      </c>
      <c r="O1250">
        <v>-5.87</v>
      </c>
      <c r="P1250">
        <v>15.77</v>
      </c>
      <c r="Q1250">
        <v>-1.76</v>
      </c>
      <c r="R1250">
        <v>13.8</v>
      </c>
      <c r="S1250">
        <v>-0.25</v>
      </c>
      <c r="T1250">
        <v>1.44</v>
      </c>
      <c r="U1250">
        <v>2.59</v>
      </c>
      <c r="V1250">
        <v>2.84</v>
      </c>
      <c r="W1250">
        <v>2.34</v>
      </c>
      <c r="X1250">
        <v>1.91</v>
      </c>
      <c r="Y1250">
        <v>1.75</v>
      </c>
      <c r="Z1250">
        <v>1.47</v>
      </c>
      <c r="AA1250">
        <v>2.27</v>
      </c>
      <c r="AB1250">
        <v>5.55</v>
      </c>
      <c r="AC1250">
        <v>0.75</v>
      </c>
      <c r="AD1250">
        <v>7.23</v>
      </c>
      <c r="AE1250">
        <v>0.14000000000000001</v>
      </c>
      <c r="AF1250">
        <v>2.9016666666666668</v>
      </c>
      <c r="AG1250" t="str">
        <f>HYPERLINK("https://finance.naver.com/item/fchart.naver?code=007340", "DN오토모티브 차트보기")</f>
        <v>DN오토모티브 차트보기</v>
      </c>
    </row>
    <row r="1251" spans="1:33" x14ac:dyDescent="0.3">
      <c r="A1251" t="s">
        <v>5031</v>
      </c>
      <c r="B1251" t="s">
        <v>55</v>
      </c>
      <c r="C1251" t="s">
        <v>5032</v>
      </c>
      <c r="D1251">
        <v>398049.19</v>
      </c>
      <c r="E1251" t="s">
        <v>5033</v>
      </c>
      <c r="F1251">
        <v>84.48</v>
      </c>
      <c r="G1251">
        <v>0.49000000953674322</v>
      </c>
      <c r="H1251">
        <v>48</v>
      </c>
      <c r="I1251">
        <v>0</v>
      </c>
      <c r="J1251" t="s">
        <v>5034</v>
      </c>
      <c r="K1251">
        <v>6610</v>
      </c>
      <c r="L1251">
        <v>4055</v>
      </c>
      <c r="M1251">
        <v>-38.65</v>
      </c>
      <c r="N1251">
        <v>-11.75</v>
      </c>
      <c r="O1251">
        <v>0.65</v>
      </c>
      <c r="P1251">
        <v>-2.5099999999999998</v>
      </c>
      <c r="Q1251">
        <v>-13.21</v>
      </c>
      <c r="R1251">
        <v>-8.4</v>
      </c>
      <c r="S1251">
        <v>-1.92</v>
      </c>
      <c r="T1251">
        <v>2.2200000000000002</v>
      </c>
      <c r="U1251">
        <v>4.78</v>
      </c>
      <c r="V1251">
        <v>1.82</v>
      </c>
      <c r="W1251">
        <v>3.87</v>
      </c>
      <c r="X1251">
        <v>1.54</v>
      </c>
      <c r="Y1251">
        <v>1.1000000000000001</v>
      </c>
      <c r="Z1251">
        <v>5.29</v>
      </c>
      <c r="AA1251">
        <v>0.14000000000000001</v>
      </c>
      <c r="AB1251">
        <v>1.38</v>
      </c>
      <c r="AC1251">
        <v>3.41</v>
      </c>
      <c r="AD1251">
        <v>5.45</v>
      </c>
      <c r="AE1251">
        <v>1.75</v>
      </c>
      <c r="AF1251">
        <v>2.9033333333333329</v>
      </c>
      <c r="AG1251" t="str">
        <f>HYPERLINK("https://finance.naver.com/item/fchart.naver?code=376190", "LB루셈 차트보기")</f>
        <v>LB루셈 차트보기</v>
      </c>
    </row>
    <row r="1252" spans="1:33" x14ac:dyDescent="0.3">
      <c r="A1252" t="s">
        <v>5035</v>
      </c>
      <c r="B1252" t="s">
        <v>55</v>
      </c>
      <c r="C1252" t="s">
        <v>5036</v>
      </c>
      <c r="D1252">
        <v>678076.1</v>
      </c>
      <c r="E1252" t="s">
        <v>5037</v>
      </c>
      <c r="J1252" t="s">
        <v>5038</v>
      </c>
      <c r="K1252">
        <v>3500</v>
      </c>
      <c r="L1252">
        <v>4170</v>
      </c>
      <c r="M1252">
        <v>19.14</v>
      </c>
      <c r="N1252">
        <v>-0.95</v>
      </c>
      <c r="O1252">
        <v>27.19</v>
      </c>
      <c r="P1252">
        <v>-2.1</v>
      </c>
      <c r="Q1252">
        <v>17.260000000000002</v>
      </c>
      <c r="R1252">
        <v>-11.57</v>
      </c>
      <c r="S1252">
        <v>-0.72</v>
      </c>
      <c r="T1252">
        <v>3.57</v>
      </c>
      <c r="U1252">
        <v>10.029999999999999</v>
      </c>
      <c r="V1252">
        <v>3.07</v>
      </c>
      <c r="W1252">
        <v>3.94</v>
      </c>
      <c r="X1252">
        <v>1.3</v>
      </c>
      <c r="Y1252">
        <v>1.47</v>
      </c>
      <c r="Z1252">
        <v>0.27</v>
      </c>
      <c r="AA1252">
        <v>2.71</v>
      </c>
      <c r="AB1252">
        <v>0.68</v>
      </c>
      <c r="AC1252">
        <v>4.38</v>
      </c>
      <c r="AD1252">
        <v>8.9</v>
      </c>
      <c r="AE1252">
        <v>0.49</v>
      </c>
      <c r="AF1252">
        <v>2.9049999999999989</v>
      </c>
      <c r="AG1252" t="str">
        <f>HYPERLINK("https://finance.naver.com/item/fchart.naver?code=900290", "GRT 차트보기")</f>
        <v>GRT 차트보기</v>
      </c>
    </row>
    <row r="1253" spans="1:33" x14ac:dyDescent="0.3">
      <c r="A1253" t="s">
        <v>5039</v>
      </c>
      <c r="B1253" t="s">
        <v>55</v>
      </c>
      <c r="C1253" t="s">
        <v>5040</v>
      </c>
      <c r="D1253">
        <v>1843613.48</v>
      </c>
      <c r="E1253" t="s">
        <v>5041</v>
      </c>
      <c r="F1253">
        <v>0</v>
      </c>
      <c r="G1253">
        <v>26.04999923706055</v>
      </c>
      <c r="H1253">
        <v>0</v>
      </c>
      <c r="I1253">
        <v>0</v>
      </c>
      <c r="J1253" t="s">
        <v>5042</v>
      </c>
      <c r="K1253">
        <v>24600</v>
      </c>
      <c r="L1253">
        <v>40300</v>
      </c>
      <c r="M1253">
        <v>63.82</v>
      </c>
      <c r="N1253">
        <v>12.41</v>
      </c>
      <c r="O1253">
        <v>19.809999999999999</v>
      </c>
      <c r="P1253">
        <v>-7.6</v>
      </c>
      <c r="Q1253">
        <v>18.489999999999998</v>
      </c>
      <c r="R1253">
        <v>16.97</v>
      </c>
      <c r="S1253">
        <v>-6.44</v>
      </c>
      <c r="T1253">
        <v>6.33</v>
      </c>
      <c r="U1253">
        <v>4.42</v>
      </c>
      <c r="V1253">
        <v>4.3099999999999996</v>
      </c>
      <c r="W1253">
        <v>4.92</v>
      </c>
      <c r="X1253">
        <v>4.66</v>
      </c>
      <c r="Y1253">
        <v>3.5</v>
      </c>
      <c r="Z1253">
        <v>1.96</v>
      </c>
      <c r="AA1253">
        <v>4.4800000000000004</v>
      </c>
      <c r="AB1253">
        <v>1.76</v>
      </c>
      <c r="AC1253">
        <v>3.76</v>
      </c>
      <c r="AD1253">
        <v>3.64</v>
      </c>
      <c r="AE1253">
        <v>1.84</v>
      </c>
      <c r="AF1253">
        <v>2.9066666666666672</v>
      </c>
      <c r="AG1253" t="str">
        <f>HYPERLINK("https://finance.naver.com/item/fchart.naver?code=298380", "에이비엘바이오 차트보기")</f>
        <v>에이비엘바이오 차트보기</v>
      </c>
    </row>
    <row r="1254" spans="1:33" x14ac:dyDescent="0.3">
      <c r="A1254" t="s">
        <v>5043</v>
      </c>
      <c r="B1254" t="s">
        <v>55</v>
      </c>
      <c r="C1254" t="s">
        <v>5044</v>
      </c>
      <c r="D1254">
        <v>79877.899999999994</v>
      </c>
      <c r="E1254" t="s">
        <v>5045</v>
      </c>
      <c r="F1254">
        <v>12.43</v>
      </c>
      <c r="G1254">
        <v>0.75</v>
      </c>
      <c r="H1254">
        <v>412</v>
      </c>
      <c r="I1254">
        <v>0.77999997138977051</v>
      </c>
      <c r="J1254" t="s">
        <v>5046</v>
      </c>
      <c r="K1254">
        <v>8100</v>
      </c>
      <c r="L1254">
        <v>5120</v>
      </c>
      <c r="M1254">
        <v>-36.79</v>
      </c>
      <c r="N1254">
        <v>-8.41</v>
      </c>
      <c r="O1254">
        <v>-14.63</v>
      </c>
      <c r="P1254">
        <v>-5.38</v>
      </c>
      <c r="Q1254">
        <v>-19.95</v>
      </c>
      <c r="R1254">
        <v>3.28</v>
      </c>
      <c r="S1254">
        <v>0</v>
      </c>
      <c r="T1254">
        <v>4.5199999999999996</v>
      </c>
      <c r="U1254">
        <v>2.31</v>
      </c>
      <c r="V1254">
        <v>2.5299999999999998</v>
      </c>
      <c r="W1254">
        <v>3.51</v>
      </c>
      <c r="X1254">
        <v>2.2599999999999998</v>
      </c>
      <c r="Y1254">
        <v>3.6</v>
      </c>
      <c r="Z1254">
        <v>1.86</v>
      </c>
      <c r="AA1254">
        <v>6.33</v>
      </c>
      <c r="AB1254">
        <v>2.13</v>
      </c>
      <c r="AC1254">
        <v>5.68</v>
      </c>
      <c r="AD1254">
        <v>1.45</v>
      </c>
      <c r="AE1254">
        <v>0</v>
      </c>
      <c r="AF1254">
        <v>2.9083333333333332</v>
      </c>
      <c r="AG1254" t="str">
        <f>HYPERLINK("https://finance.naver.com/item/fchart.naver?code=265740", "엔에프씨 차트보기")</f>
        <v>엔에프씨 차트보기</v>
      </c>
    </row>
    <row r="1255" spans="1:33" x14ac:dyDescent="0.3">
      <c r="A1255" t="s">
        <v>5047</v>
      </c>
      <c r="B1255" t="s">
        <v>34</v>
      </c>
      <c r="C1255" t="s">
        <v>5048</v>
      </c>
      <c r="D1255">
        <v>31005.24</v>
      </c>
      <c r="E1255" t="s">
        <v>5049</v>
      </c>
      <c r="F1255">
        <v>5.8</v>
      </c>
      <c r="G1255">
        <v>0.31999999284744263</v>
      </c>
      <c r="H1255">
        <v>2613</v>
      </c>
      <c r="I1255">
        <v>3.2999999523162842</v>
      </c>
      <c r="J1255" t="s">
        <v>5050</v>
      </c>
      <c r="K1255">
        <v>22100</v>
      </c>
      <c r="L1255">
        <v>15150</v>
      </c>
      <c r="M1255">
        <v>-31.45</v>
      </c>
      <c r="N1255">
        <v>-0.53</v>
      </c>
      <c r="O1255">
        <v>0.45</v>
      </c>
      <c r="P1255">
        <v>1.3</v>
      </c>
      <c r="Q1255">
        <v>-7.33</v>
      </c>
      <c r="R1255">
        <v>-6.78</v>
      </c>
      <c r="S1255">
        <v>-5.68</v>
      </c>
      <c r="T1255">
        <v>0.91</v>
      </c>
      <c r="U1255">
        <v>1.22</v>
      </c>
      <c r="V1255">
        <v>2.4300000000000002</v>
      </c>
      <c r="W1255">
        <v>1.79</v>
      </c>
      <c r="X1255">
        <v>1.04</v>
      </c>
      <c r="Y1255">
        <v>1.06</v>
      </c>
      <c r="Z1255">
        <v>0.57999999999999996</v>
      </c>
      <c r="AA1255">
        <v>0.37</v>
      </c>
      <c r="AB1255">
        <v>0.53</v>
      </c>
      <c r="AC1255">
        <v>4.09</v>
      </c>
      <c r="AD1255">
        <v>6.52</v>
      </c>
      <c r="AE1255">
        <v>5.36</v>
      </c>
      <c r="AF1255">
        <v>2.9083333333333332</v>
      </c>
      <c r="AG1255" t="str">
        <f>HYPERLINK("https://finance.naver.com/item/fchart.naver?code=034120", "SBS 차트보기")</f>
        <v>SBS 차트보기</v>
      </c>
    </row>
    <row r="1256" spans="1:33" x14ac:dyDescent="0.3">
      <c r="A1256" t="s">
        <v>5051</v>
      </c>
      <c r="B1256" t="s">
        <v>34</v>
      </c>
      <c r="C1256" t="s">
        <v>5052</v>
      </c>
      <c r="D1256">
        <v>264968.86</v>
      </c>
      <c r="E1256" t="s">
        <v>5053</v>
      </c>
      <c r="F1256">
        <v>56.38</v>
      </c>
      <c r="G1256">
        <v>4.0900001525878906</v>
      </c>
      <c r="H1256">
        <v>1082</v>
      </c>
      <c r="I1256">
        <v>0.36000001430511469</v>
      </c>
      <c r="J1256" t="s">
        <v>5054</v>
      </c>
      <c r="K1256">
        <v>54300</v>
      </c>
      <c r="L1256">
        <v>61000</v>
      </c>
      <c r="M1256">
        <v>12.34</v>
      </c>
      <c r="N1256">
        <v>7.02</v>
      </c>
      <c r="O1256">
        <v>11.24</v>
      </c>
      <c r="P1256">
        <v>-12.67</v>
      </c>
      <c r="Q1256">
        <v>-2.75</v>
      </c>
      <c r="R1256">
        <v>-14.64</v>
      </c>
      <c r="S1256">
        <v>20.329999999999998</v>
      </c>
      <c r="T1256">
        <v>4.88</v>
      </c>
      <c r="U1256">
        <v>3.96</v>
      </c>
      <c r="V1256">
        <v>2.91</v>
      </c>
      <c r="W1256">
        <v>4.6500000000000004</v>
      </c>
      <c r="X1256">
        <v>2.86</v>
      </c>
      <c r="Y1256">
        <v>6.54</v>
      </c>
      <c r="Z1256">
        <v>1.44</v>
      </c>
      <c r="AA1256">
        <v>2.84</v>
      </c>
      <c r="AB1256">
        <v>4.3499999999999996</v>
      </c>
      <c r="AC1256">
        <v>0.59</v>
      </c>
      <c r="AD1256">
        <v>5.12</v>
      </c>
      <c r="AE1256">
        <v>3.11</v>
      </c>
      <c r="AF1256">
        <v>2.9083333333333332</v>
      </c>
      <c r="AG1256" t="str">
        <f>HYPERLINK("https://finance.naver.com/item/fchart.naver?code=012510", "더존비즈온 차트보기")</f>
        <v>더존비즈온 차트보기</v>
      </c>
    </row>
    <row r="1257" spans="1:33" x14ac:dyDescent="0.3">
      <c r="A1257" t="s">
        <v>5055</v>
      </c>
      <c r="B1257" t="s">
        <v>34</v>
      </c>
      <c r="C1257" t="s">
        <v>5056</v>
      </c>
      <c r="D1257">
        <v>81352.62</v>
      </c>
      <c r="E1257" t="s">
        <v>5057</v>
      </c>
      <c r="F1257">
        <v>10.54</v>
      </c>
      <c r="G1257">
        <v>0.54000002145767212</v>
      </c>
      <c r="H1257">
        <v>1862</v>
      </c>
      <c r="I1257">
        <v>4.0799999237060547</v>
      </c>
      <c r="J1257" t="s">
        <v>5058</v>
      </c>
      <c r="K1257">
        <v>21250</v>
      </c>
      <c r="L1257">
        <v>19630</v>
      </c>
      <c r="M1257">
        <v>-7.62</v>
      </c>
      <c r="N1257">
        <v>-3.3</v>
      </c>
      <c r="O1257">
        <v>-0.72</v>
      </c>
      <c r="P1257">
        <v>1.67</v>
      </c>
      <c r="Q1257">
        <v>-12.97</v>
      </c>
      <c r="R1257">
        <v>-7.92</v>
      </c>
      <c r="S1257">
        <v>17.54</v>
      </c>
      <c r="T1257">
        <v>1.36</v>
      </c>
      <c r="U1257">
        <v>1.37</v>
      </c>
      <c r="V1257">
        <v>2.17</v>
      </c>
      <c r="W1257">
        <v>2.81</v>
      </c>
      <c r="X1257">
        <v>1.95</v>
      </c>
      <c r="Y1257">
        <v>3.47</v>
      </c>
      <c r="Z1257">
        <v>2.4300000000000002</v>
      </c>
      <c r="AA1257">
        <v>0.53</v>
      </c>
      <c r="AB1257">
        <v>0.77</v>
      </c>
      <c r="AC1257">
        <v>4.62</v>
      </c>
      <c r="AD1257">
        <v>4.0599999999999996</v>
      </c>
      <c r="AE1257">
        <v>5.05</v>
      </c>
      <c r="AF1257">
        <v>2.91</v>
      </c>
      <c r="AG1257" t="str">
        <f>HYPERLINK("https://finance.naver.com/item/fchart.naver?code=001680", "대상 차트보기")</f>
        <v>대상 차트보기</v>
      </c>
    </row>
    <row r="1258" spans="1:33" x14ac:dyDescent="0.3">
      <c r="A1258" t="s">
        <v>5059</v>
      </c>
      <c r="B1258" t="s">
        <v>55</v>
      </c>
      <c r="C1258" t="s">
        <v>5060</v>
      </c>
      <c r="D1258">
        <v>104454.95</v>
      </c>
      <c r="E1258" t="s">
        <v>5061</v>
      </c>
      <c r="F1258">
        <v>17.05</v>
      </c>
      <c r="G1258">
        <v>1.2100000381469731</v>
      </c>
      <c r="H1258">
        <v>719</v>
      </c>
      <c r="I1258">
        <v>1.470000028610229</v>
      </c>
      <c r="J1258" t="s">
        <v>5062</v>
      </c>
      <c r="K1258">
        <v>28050</v>
      </c>
      <c r="L1258">
        <v>12260</v>
      </c>
      <c r="M1258">
        <v>-56.29</v>
      </c>
      <c r="N1258">
        <v>-10.97</v>
      </c>
      <c r="O1258">
        <v>-4.72</v>
      </c>
      <c r="P1258">
        <v>-1.62</v>
      </c>
      <c r="Q1258">
        <v>-15.4</v>
      </c>
      <c r="R1258">
        <v>-23.8</v>
      </c>
      <c r="S1258">
        <v>10.94</v>
      </c>
      <c r="T1258">
        <v>3.76</v>
      </c>
      <c r="U1258">
        <v>3.61</v>
      </c>
      <c r="V1258">
        <v>4.16</v>
      </c>
      <c r="W1258">
        <v>4.16</v>
      </c>
      <c r="X1258">
        <v>3.55</v>
      </c>
      <c r="Y1258">
        <v>4.49</v>
      </c>
      <c r="Z1258">
        <v>2.92</v>
      </c>
      <c r="AA1258">
        <v>1.31</v>
      </c>
      <c r="AB1258">
        <v>0.39</v>
      </c>
      <c r="AC1258">
        <v>3.7</v>
      </c>
      <c r="AD1258">
        <v>6.7</v>
      </c>
      <c r="AE1258">
        <v>2.44</v>
      </c>
      <c r="AF1258">
        <v>2.91</v>
      </c>
      <c r="AG1258" t="str">
        <f>HYPERLINK("https://finance.naver.com/item/fchart.naver?code=110990", "디아이티 차트보기")</f>
        <v>디아이티 차트보기</v>
      </c>
    </row>
    <row r="1259" spans="1:33" x14ac:dyDescent="0.3">
      <c r="A1259" t="s">
        <v>5063</v>
      </c>
      <c r="B1259" t="s">
        <v>55</v>
      </c>
      <c r="C1259" t="s">
        <v>5064</v>
      </c>
      <c r="D1259">
        <v>270112.28999999998</v>
      </c>
      <c r="E1259" t="s">
        <v>5065</v>
      </c>
      <c r="F1259">
        <v>18.16</v>
      </c>
      <c r="G1259">
        <v>1.330000042915344</v>
      </c>
      <c r="H1259">
        <v>299</v>
      </c>
      <c r="I1259">
        <v>0</v>
      </c>
      <c r="J1259" t="s">
        <v>5066</v>
      </c>
      <c r="K1259">
        <v>10350</v>
      </c>
      <c r="L1259">
        <v>5430</v>
      </c>
      <c r="M1259">
        <v>-47.54</v>
      </c>
      <c r="N1259">
        <v>-8.2799999999999994</v>
      </c>
      <c r="O1259">
        <v>-1.5</v>
      </c>
      <c r="P1259">
        <v>-6.63</v>
      </c>
      <c r="Q1259">
        <v>-18.97</v>
      </c>
      <c r="R1259">
        <v>-15.88</v>
      </c>
      <c r="S1259">
        <v>-11.08</v>
      </c>
      <c r="T1259">
        <v>3.32</v>
      </c>
      <c r="U1259">
        <v>4.13</v>
      </c>
      <c r="V1259">
        <v>3.78</v>
      </c>
      <c r="W1259">
        <v>4.6399999999999997</v>
      </c>
      <c r="X1259">
        <v>3.16</v>
      </c>
      <c r="Y1259">
        <v>2.96</v>
      </c>
      <c r="Z1259">
        <v>2.4900000000000002</v>
      </c>
      <c r="AA1259">
        <v>0.36</v>
      </c>
      <c r="AB1259">
        <v>1.75</v>
      </c>
      <c r="AC1259">
        <v>4.09</v>
      </c>
      <c r="AD1259">
        <v>5.03</v>
      </c>
      <c r="AE1259">
        <v>3.74</v>
      </c>
      <c r="AF1259">
        <v>2.91</v>
      </c>
      <c r="AG1259" t="str">
        <f>HYPERLINK("https://finance.naver.com/item/fchart.naver?code=441270", "파인엠텍 차트보기")</f>
        <v>파인엠텍 차트보기</v>
      </c>
    </row>
    <row r="1260" spans="1:33" x14ac:dyDescent="0.3">
      <c r="A1260" t="s">
        <v>5067</v>
      </c>
      <c r="B1260" t="s">
        <v>34</v>
      </c>
      <c r="C1260" t="s">
        <v>5068</v>
      </c>
      <c r="D1260">
        <v>223977.62</v>
      </c>
      <c r="E1260" t="s">
        <v>5069</v>
      </c>
      <c r="F1260">
        <v>9.8000000000000007</v>
      </c>
      <c r="G1260">
        <v>0.43999999761581421</v>
      </c>
      <c r="H1260">
        <v>10554</v>
      </c>
      <c r="I1260">
        <v>3.5799999237060551</v>
      </c>
      <c r="J1260" t="s">
        <v>5070</v>
      </c>
      <c r="K1260">
        <v>95000</v>
      </c>
      <c r="L1260">
        <v>103400</v>
      </c>
      <c r="M1260">
        <v>8.84</v>
      </c>
      <c r="N1260">
        <v>-0.39</v>
      </c>
      <c r="O1260">
        <v>11.91</v>
      </c>
      <c r="P1260">
        <v>-4.12</v>
      </c>
      <c r="Q1260">
        <v>3.62</v>
      </c>
      <c r="R1260">
        <v>10.29</v>
      </c>
      <c r="S1260">
        <v>3.75</v>
      </c>
      <c r="T1260">
        <v>1.52</v>
      </c>
      <c r="U1260">
        <v>1.66</v>
      </c>
      <c r="V1260">
        <v>2.34</v>
      </c>
      <c r="W1260">
        <v>3.19</v>
      </c>
      <c r="X1260">
        <v>2.0499999999999998</v>
      </c>
      <c r="Y1260">
        <v>1.77</v>
      </c>
      <c r="Z1260">
        <v>0.26</v>
      </c>
      <c r="AA1260">
        <v>7.17</v>
      </c>
      <c r="AB1260">
        <v>1.76</v>
      </c>
      <c r="AC1260">
        <v>1.1299999999999999</v>
      </c>
      <c r="AD1260">
        <v>5.0199999999999996</v>
      </c>
      <c r="AE1260">
        <v>2.12</v>
      </c>
      <c r="AF1260">
        <v>2.91</v>
      </c>
      <c r="AG1260" t="str">
        <f>HYPERLINK("https://finance.naver.com/item/fchart.naver?code=032830", "삼성생명 차트보기")</f>
        <v>삼성생명 차트보기</v>
      </c>
    </row>
    <row r="1261" spans="1:33" x14ac:dyDescent="0.3">
      <c r="A1261" t="s">
        <v>5071</v>
      </c>
      <c r="B1261" t="s">
        <v>55</v>
      </c>
      <c r="C1261" t="s">
        <v>5072</v>
      </c>
      <c r="D1261">
        <v>290296.38</v>
      </c>
      <c r="E1261" t="s">
        <v>5073</v>
      </c>
      <c r="F1261">
        <v>35.01</v>
      </c>
      <c r="G1261">
        <v>7.690000057220459</v>
      </c>
      <c r="H1261">
        <v>367</v>
      </c>
      <c r="I1261">
        <v>0</v>
      </c>
      <c r="J1261" t="s">
        <v>5074</v>
      </c>
      <c r="K1261">
        <v>21050</v>
      </c>
      <c r="L1261">
        <v>12850</v>
      </c>
      <c r="M1261">
        <v>-38.950000000000003</v>
      </c>
      <c r="N1261">
        <v>-15.74</v>
      </c>
      <c r="O1261">
        <v>-11.97</v>
      </c>
      <c r="P1261">
        <v>-4.26</v>
      </c>
      <c r="Q1261">
        <v>9.2899999999999991</v>
      </c>
      <c r="R1261">
        <v>-17.100000000000001</v>
      </c>
      <c r="S1261">
        <v>1.31</v>
      </c>
      <c r="T1261">
        <v>4.59</v>
      </c>
      <c r="U1261">
        <v>2.44</v>
      </c>
      <c r="V1261">
        <v>3.29</v>
      </c>
      <c r="W1261">
        <v>5.98</v>
      </c>
      <c r="X1261">
        <v>2.9</v>
      </c>
      <c r="Y1261">
        <v>3.35</v>
      </c>
      <c r="Z1261">
        <v>3.43</v>
      </c>
      <c r="AA1261">
        <v>4.91</v>
      </c>
      <c r="AB1261">
        <v>1.29</v>
      </c>
      <c r="AC1261">
        <v>1.55</v>
      </c>
      <c r="AD1261">
        <v>5.9</v>
      </c>
      <c r="AE1261">
        <v>0.39</v>
      </c>
      <c r="AF1261">
        <v>2.9116666666666671</v>
      </c>
      <c r="AG1261" t="str">
        <f>HYPERLINK("https://finance.naver.com/item/fchart.naver?code=281740", "레이크머티리얼즈 차트보기")</f>
        <v>레이크머티리얼즈 차트보기</v>
      </c>
    </row>
    <row r="1262" spans="1:33" x14ac:dyDescent="0.3">
      <c r="A1262" t="s">
        <v>5075</v>
      </c>
      <c r="B1262" t="s">
        <v>34</v>
      </c>
      <c r="C1262" t="s">
        <v>5076</v>
      </c>
      <c r="D1262">
        <v>16883.71</v>
      </c>
      <c r="E1262" t="s">
        <v>5077</v>
      </c>
      <c r="F1262">
        <v>8.66</v>
      </c>
      <c r="G1262">
        <v>0.68000000715255737</v>
      </c>
      <c r="H1262">
        <v>1059</v>
      </c>
      <c r="I1262">
        <v>4.9099998474121094</v>
      </c>
      <c r="J1262" t="s">
        <v>5078</v>
      </c>
      <c r="K1262">
        <v>10220</v>
      </c>
      <c r="L1262">
        <v>9170</v>
      </c>
      <c r="M1262">
        <v>-10.27</v>
      </c>
      <c r="N1262">
        <v>-0.54</v>
      </c>
      <c r="O1262">
        <v>1.31</v>
      </c>
      <c r="P1262">
        <v>-0.32</v>
      </c>
      <c r="Q1262">
        <v>-6.83</v>
      </c>
      <c r="R1262">
        <v>-5.71</v>
      </c>
      <c r="S1262">
        <v>6.75</v>
      </c>
      <c r="T1262">
        <v>0.93</v>
      </c>
      <c r="U1262">
        <v>0.56000000000000005</v>
      </c>
      <c r="V1262">
        <v>0.75</v>
      </c>
      <c r="W1262">
        <v>2.16</v>
      </c>
      <c r="X1262">
        <v>1.07</v>
      </c>
      <c r="Y1262">
        <v>1.2</v>
      </c>
      <c r="Z1262">
        <v>0.57999999999999996</v>
      </c>
      <c r="AA1262">
        <v>2.34</v>
      </c>
      <c r="AB1262">
        <v>0.43</v>
      </c>
      <c r="AC1262">
        <v>3.16</v>
      </c>
      <c r="AD1262">
        <v>5.34</v>
      </c>
      <c r="AE1262">
        <v>5.62</v>
      </c>
      <c r="AF1262">
        <v>2.9116666666666671</v>
      </c>
      <c r="AG1262" t="str">
        <f>HYPERLINK("https://finance.naver.com/item/fchart.naver?code=002100", "경농 차트보기")</f>
        <v>경농 차트보기</v>
      </c>
    </row>
    <row r="1263" spans="1:33" x14ac:dyDescent="0.3">
      <c r="A1263" t="s">
        <v>5079</v>
      </c>
      <c r="B1263" t="s">
        <v>34</v>
      </c>
      <c r="C1263" t="s">
        <v>5080</v>
      </c>
      <c r="D1263">
        <v>193842.71</v>
      </c>
      <c r="E1263" t="s">
        <v>5081</v>
      </c>
      <c r="F1263">
        <v>6.85</v>
      </c>
      <c r="G1263">
        <v>0.44999998807907099</v>
      </c>
      <c r="H1263">
        <v>3576</v>
      </c>
      <c r="I1263">
        <v>4.9000000953674316</v>
      </c>
      <c r="J1263" t="s">
        <v>5082</v>
      </c>
      <c r="K1263">
        <v>24550</v>
      </c>
      <c r="L1263">
        <v>24500</v>
      </c>
      <c r="M1263">
        <v>-0.2</v>
      </c>
      <c r="N1263">
        <v>25.9</v>
      </c>
      <c r="O1263">
        <v>-2.5099999999999998</v>
      </c>
      <c r="P1263">
        <v>3.84</v>
      </c>
      <c r="Q1263">
        <v>0.45</v>
      </c>
      <c r="R1263">
        <v>-8.7200000000000006</v>
      </c>
      <c r="S1263">
        <v>-9.19</v>
      </c>
      <c r="T1263">
        <v>8.0500000000000007</v>
      </c>
      <c r="U1263">
        <v>2.0499999999999998</v>
      </c>
      <c r="V1263">
        <v>1.82</v>
      </c>
      <c r="W1263">
        <v>3.08</v>
      </c>
      <c r="X1263">
        <v>1.54</v>
      </c>
      <c r="Y1263">
        <v>1.8</v>
      </c>
      <c r="Z1263">
        <v>3.22</v>
      </c>
      <c r="AA1263">
        <v>1.22</v>
      </c>
      <c r="AB1263">
        <v>2.11</v>
      </c>
      <c r="AC1263">
        <v>0.15</v>
      </c>
      <c r="AD1263">
        <v>5.66</v>
      </c>
      <c r="AE1263">
        <v>5.1100000000000003</v>
      </c>
      <c r="AF1263">
        <v>2.9116666666666671</v>
      </c>
      <c r="AG1263" t="str">
        <f>HYPERLINK("https://finance.naver.com/item/fchart.naver?code=001430", "세아베스틸지주 차트보기")</f>
        <v>세아베스틸지주 차트보기</v>
      </c>
    </row>
    <row r="1264" spans="1:33" x14ac:dyDescent="0.3">
      <c r="A1264" t="s">
        <v>5083</v>
      </c>
      <c r="B1264" t="s">
        <v>34</v>
      </c>
      <c r="C1264" t="s">
        <v>5084</v>
      </c>
      <c r="D1264">
        <v>10184.049999999999</v>
      </c>
      <c r="E1264" t="s">
        <v>5085</v>
      </c>
      <c r="F1264">
        <v>21.77</v>
      </c>
      <c r="G1264">
        <v>0.81999999284744263</v>
      </c>
      <c r="H1264">
        <v>1456</v>
      </c>
      <c r="I1264">
        <v>1.580000042915344</v>
      </c>
      <c r="J1264" t="s">
        <v>5086</v>
      </c>
      <c r="K1264">
        <v>27500</v>
      </c>
      <c r="L1264">
        <v>31700</v>
      </c>
      <c r="M1264">
        <v>15.27</v>
      </c>
      <c r="N1264">
        <v>6.73</v>
      </c>
      <c r="O1264">
        <v>4.04</v>
      </c>
      <c r="P1264">
        <v>1.08</v>
      </c>
      <c r="Q1264">
        <v>0.36</v>
      </c>
      <c r="R1264">
        <v>-4.5</v>
      </c>
      <c r="S1264">
        <v>5.95</v>
      </c>
      <c r="T1264">
        <v>6.4</v>
      </c>
      <c r="U1264">
        <v>0.79</v>
      </c>
      <c r="V1264">
        <v>0.61</v>
      </c>
      <c r="W1264">
        <v>2.08</v>
      </c>
      <c r="X1264">
        <v>1.36</v>
      </c>
      <c r="Y1264">
        <v>0.98</v>
      </c>
      <c r="Z1264">
        <v>1.05</v>
      </c>
      <c r="AA1264">
        <v>5.1100000000000003</v>
      </c>
      <c r="AB1264">
        <v>1.77</v>
      </c>
      <c r="AC1264">
        <v>0.17</v>
      </c>
      <c r="AD1264">
        <v>3.31</v>
      </c>
      <c r="AE1264">
        <v>6.07</v>
      </c>
      <c r="AF1264">
        <v>2.913333333333334</v>
      </c>
      <c r="AG1264" t="str">
        <f>HYPERLINK("https://finance.naver.com/item/fchart.naver?code=134790", "시디즈 차트보기")</f>
        <v>시디즈 차트보기</v>
      </c>
    </row>
    <row r="1265" spans="1:33" x14ac:dyDescent="0.3">
      <c r="A1265" t="s">
        <v>5087</v>
      </c>
      <c r="B1265" t="s">
        <v>34</v>
      </c>
      <c r="C1265" t="s">
        <v>5088</v>
      </c>
      <c r="D1265">
        <v>47592.19</v>
      </c>
      <c r="E1265" t="s">
        <v>5089</v>
      </c>
      <c r="F1265">
        <v>2.0499999999999998</v>
      </c>
      <c r="G1265">
        <v>0.43999999761581421</v>
      </c>
      <c r="H1265">
        <v>1756</v>
      </c>
      <c r="I1265">
        <v>3.470000028610229</v>
      </c>
      <c r="J1265" t="s">
        <v>5090</v>
      </c>
      <c r="K1265">
        <v>4690</v>
      </c>
      <c r="L1265">
        <v>3600</v>
      </c>
      <c r="M1265">
        <v>-23.24</v>
      </c>
      <c r="N1265">
        <v>-10</v>
      </c>
      <c r="O1265">
        <v>-5.54</v>
      </c>
      <c r="P1265">
        <v>4.13</v>
      </c>
      <c r="Q1265">
        <v>-7.87</v>
      </c>
      <c r="R1265">
        <v>-0.12</v>
      </c>
      <c r="S1265">
        <v>-3.54</v>
      </c>
      <c r="T1265">
        <v>2</v>
      </c>
      <c r="U1265">
        <v>1.75</v>
      </c>
      <c r="V1265">
        <v>1.1100000000000001</v>
      </c>
      <c r="W1265">
        <v>2.15</v>
      </c>
      <c r="X1265">
        <v>2.16</v>
      </c>
      <c r="Y1265">
        <v>1.88</v>
      </c>
      <c r="Z1265">
        <v>5</v>
      </c>
      <c r="AA1265">
        <v>3.17</v>
      </c>
      <c r="AB1265">
        <v>3.72</v>
      </c>
      <c r="AC1265">
        <v>3.66</v>
      </c>
      <c r="AD1265">
        <v>0.06</v>
      </c>
      <c r="AE1265">
        <v>1.88</v>
      </c>
      <c r="AF1265">
        <v>2.915</v>
      </c>
      <c r="AG1265" t="str">
        <f>HYPERLINK("https://finance.naver.com/item/fchart.naver?code=008260", "NI스틸 차트보기")</f>
        <v>NI스틸 차트보기</v>
      </c>
    </row>
    <row r="1266" spans="1:33" x14ac:dyDescent="0.3">
      <c r="A1266" t="s">
        <v>5091</v>
      </c>
      <c r="B1266" t="s">
        <v>55</v>
      </c>
      <c r="C1266" t="s">
        <v>5092</v>
      </c>
      <c r="D1266">
        <v>282340.86</v>
      </c>
      <c r="E1266" t="s">
        <v>5093</v>
      </c>
      <c r="F1266">
        <v>0</v>
      </c>
      <c r="G1266">
        <v>1.809999942779541</v>
      </c>
      <c r="H1266">
        <v>0</v>
      </c>
      <c r="I1266">
        <v>0</v>
      </c>
      <c r="J1266" t="s">
        <v>5094</v>
      </c>
      <c r="K1266">
        <v>1209</v>
      </c>
      <c r="L1266">
        <v>892</v>
      </c>
      <c r="M1266">
        <v>-26.22</v>
      </c>
      <c r="N1266">
        <v>-2.62</v>
      </c>
      <c r="O1266">
        <v>-3.5</v>
      </c>
      <c r="P1266">
        <v>7.34</v>
      </c>
      <c r="Q1266">
        <v>-15.9</v>
      </c>
      <c r="R1266">
        <v>-9.5299999999999994</v>
      </c>
      <c r="S1266">
        <v>-2.89</v>
      </c>
      <c r="T1266">
        <v>1.06</v>
      </c>
      <c r="U1266">
        <v>2.85</v>
      </c>
      <c r="V1266">
        <v>3.42</v>
      </c>
      <c r="W1266">
        <v>3.14</v>
      </c>
      <c r="X1266">
        <v>1.57</v>
      </c>
      <c r="Y1266">
        <v>5.54</v>
      </c>
      <c r="Z1266">
        <v>2.4700000000000002</v>
      </c>
      <c r="AA1266">
        <v>1.23</v>
      </c>
      <c r="AB1266">
        <v>2.15</v>
      </c>
      <c r="AC1266">
        <v>5.0599999999999996</v>
      </c>
      <c r="AD1266">
        <v>6.07</v>
      </c>
      <c r="AE1266">
        <v>0.52</v>
      </c>
      <c r="AF1266">
        <v>2.916666666666667</v>
      </c>
      <c r="AG1266" t="str">
        <f>HYPERLINK("https://finance.naver.com/item/fchart.naver?code=121850", "코이즈 차트보기")</f>
        <v>코이즈 차트보기</v>
      </c>
    </row>
    <row r="1267" spans="1:33" x14ac:dyDescent="0.3">
      <c r="A1267" t="s">
        <v>5095</v>
      </c>
      <c r="B1267" t="s">
        <v>34</v>
      </c>
      <c r="C1267" t="s">
        <v>5096</v>
      </c>
      <c r="D1267">
        <v>5834.57</v>
      </c>
      <c r="E1267" t="s">
        <v>5097</v>
      </c>
      <c r="F1267">
        <v>4.3499999999999996</v>
      </c>
      <c r="G1267">
        <v>0.33000001311302191</v>
      </c>
      <c r="H1267">
        <v>6420</v>
      </c>
      <c r="I1267">
        <v>5.380000114440918</v>
      </c>
      <c r="J1267" t="s">
        <v>5098</v>
      </c>
      <c r="K1267">
        <v>24700</v>
      </c>
      <c r="L1267">
        <v>27900</v>
      </c>
      <c r="M1267">
        <v>12.96</v>
      </c>
      <c r="N1267">
        <v>-0.53</v>
      </c>
      <c r="O1267">
        <v>-4.93</v>
      </c>
      <c r="P1267">
        <v>6.06</v>
      </c>
      <c r="Q1267">
        <v>2.65</v>
      </c>
      <c r="R1267">
        <v>5.13</v>
      </c>
      <c r="S1267">
        <v>2.63</v>
      </c>
      <c r="T1267">
        <v>0.49</v>
      </c>
      <c r="U1267">
        <v>0.91</v>
      </c>
      <c r="V1267">
        <v>1.67</v>
      </c>
      <c r="W1267">
        <v>2.5099999999999998</v>
      </c>
      <c r="X1267">
        <v>1.74</v>
      </c>
      <c r="Y1267">
        <v>0.78</v>
      </c>
      <c r="Z1267">
        <v>1.08</v>
      </c>
      <c r="AA1267">
        <v>5.42</v>
      </c>
      <c r="AB1267">
        <v>3.63</v>
      </c>
      <c r="AC1267">
        <v>1.06</v>
      </c>
      <c r="AD1267">
        <v>2.95</v>
      </c>
      <c r="AE1267">
        <v>3.37</v>
      </c>
      <c r="AF1267">
        <v>2.918333333333333</v>
      </c>
      <c r="AG1267" t="str">
        <f>HYPERLINK("https://finance.naver.com/item/fchart.naver?code=001270", "부국증권 차트보기")</f>
        <v>부국증권 차트보기</v>
      </c>
    </row>
    <row r="1268" spans="1:33" x14ac:dyDescent="0.3">
      <c r="A1268" t="s">
        <v>5099</v>
      </c>
      <c r="B1268" t="s">
        <v>34</v>
      </c>
      <c r="C1268" t="s">
        <v>5100</v>
      </c>
      <c r="D1268">
        <v>1870148.14</v>
      </c>
      <c r="E1268" t="s">
        <v>5101</v>
      </c>
      <c r="F1268">
        <v>9.07</v>
      </c>
      <c r="G1268">
        <v>0.76999998092651367</v>
      </c>
      <c r="H1268">
        <v>813</v>
      </c>
      <c r="I1268">
        <v>1.629999995231628</v>
      </c>
      <c r="J1268" t="s">
        <v>5102</v>
      </c>
      <c r="K1268">
        <v>8320</v>
      </c>
      <c r="L1268">
        <v>7370</v>
      </c>
      <c r="M1268">
        <v>-11.42</v>
      </c>
      <c r="N1268">
        <v>-10.88</v>
      </c>
      <c r="O1268">
        <v>24.55</v>
      </c>
      <c r="P1268">
        <v>4.97</v>
      </c>
      <c r="Q1268">
        <v>-11.22</v>
      </c>
      <c r="R1268">
        <v>-11.93</v>
      </c>
      <c r="S1268">
        <v>-2.34</v>
      </c>
      <c r="T1268">
        <v>5.14</v>
      </c>
      <c r="U1268">
        <v>6.74</v>
      </c>
      <c r="V1268">
        <v>2.15</v>
      </c>
      <c r="W1268">
        <v>3.54</v>
      </c>
      <c r="X1268">
        <v>2.13</v>
      </c>
      <c r="Y1268">
        <v>3.5</v>
      </c>
      <c r="Z1268">
        <v>2.12</v>
      </c>
      <c r="AA1268">
        <v>3.64</v>
      </c>
      <c r="AB1268">
        <v>2.31</v>
      </c>
      <c r="AC1268">
        <v>3.17</v>
      </c>
      <c r="AD1268">
        <v>5.6</v>
      </c>
      <c r="AE1268">
        <v>0.67</v>
      </c>
      <c r="AF1268">
        <v>2.918333333333333</v>
      </c>
      <c r="AG1268" t="str">
        <f>HYPERLINK("https://finance.naver.com/item/fchart.naver?code=006880", "신송홀딩스 차트보기")</f>
        <v>신송홀딩스 차트보기</v>
      </c>
    </row>
    <row r="1269" spans="1:33" x14ac:dyDescent="0.3">
      <c r="A1269" t="s">
        <v>5103</v>
      </c>
      <c r="B1269" t="s">
        <v>34</v>
      </c>
      <c r="C1269" t="s">
        <v>5104</v>
      </c>
      <c r="D1269">
        <v>765.67</v>
      </c>
      <c r="E1269" t="s">
        <v>5105</v>
      </c>
      <c r="F1269">
        <v>0</v>
      </c>
      <c r="G1269">
        <v>0</v>
      </c>
      <c r="H1269">
        <v>0</v>
      </c>
      <c r="I1269">
        <v>6.9699997901916504</v>
      </c>
      <c r="J1269" t="s">
        <v>5106</v>
      </c>
      <c r="K1269">
        <v>20950</v>
      </c>
      <c r="L1269">
        <v>22250</v>
      </c>
      <c r="M1269">
        <v>6.21</v>
      </c>
      <c r="N1269">
        <v>0.23</v>
      </c>
      <c r="O1269">
        <v>1.36</v>
      </c>
      <c r="P1269">
        <v>0.69</v>
      </c>
      <c r="Q1269">
        <v>-0.23</v>
      </c>
      <c r="R1269">
        <v>3.57</v>
      </c>
      <c r="S1269">
        <v>0.72</v>
      </c>
      <c r="T1269">
        <v>0.46</v>
      </c>
      <c r="U1269">
        <v>0.34</v>
      </c>
      <c r="V1269">
        <v>0.36</v>
      </c>
      <c r="W1269">
        <v>0.8</v>
      </c>
      <c r="X1269">
        <v>0.4</v>
      </c>
      <c r="Y1269">
        <v>0.38</v>
      </c>
      <c r="Z1269">
        <v>0.5</v>
      </c>
      <c r="AA1269">
        <v>4</v>
      </c>
      <c r="AB1269">
        <v>1.92</v>
      </c>
      <c r="AC1269">
        <v>0.28999999999999998</v>
      </c>
      <c r="AD1269">
        <v>8.92</v>
      </c>
      <c r="AE1269">
        <v>1.89</v>
      </c>
      <c r="AF1269">
        <v>2.92</v>
      </c>
      <c r="AG1269" t="str">
        <f>HYPERLINK("https://finance.naver.com/item/fchart.naver?code=001275", "부국증권우 차트보기")</f>
        <v>부국증권우 차트보기</v>
      </c>
    </row>
    <row r="1270" spans="1:33" x14ac:dyDescent="0.3">
      <c r="A1270" t="s">
        <v>5107</v>
      </c>
      <c r="B1270" t="s">
        <v>55</v>
      </c>
      <c r="C1270" t="s">
        <v>5108</v>
      </c>
      <c r="D1270">
        <v>127087.24</v>
      </c>
      <c r="E1270" t="s">
        <v>5109</v>
      </c>
      <c r="F1270">
        <v>7.01</v>
      </c>
      <c r="G1270">
        <v>0.63999998569488525</v>
      </c>
      <c r="H1270">
        <v>739</v>
      </c>
      <c r="I1270">
        <v>1.3500000238418579</v>
      </c>
      <c r="J1270" t="s">
        <v>5110</v>
      </c>
      <c r="K1270">
        <v>9950</v>
      </c>
      <c r="L1270">
        <v>5180</v>
      </c>
      <c r="M1270">
        <v>-47.94</v>
      </c>
      <c r="N1270">
        <v>5.39</v>
      </c>
      <c r="O1270">
        <v>-8</v>
      </c>
      <c r="P1270">
        <v>-6.92</v>
      </c>
      <c r="Q1270">
        <v>-4.09</v>
      </c>
      <c r="R1270">
        <v>-20.6</v>
      </c>
      <c r="S1270">
        <v>-1.77</v>
      </c>
      <c r="T1270">
        <v>2.7</v>
      </c>
      <c r="U1270">
        <v>2.46</v>
      </c>
      <c r="V1270">
        <v>3.32</v>
      </c>
      <c r="W1270">
        <v>5.38</v>
      </c>
      <c r="X1270">
        <v>2.33</v>
      </c>
      <c r="Y1270">
        <v>3.02</v>
      </c>
      <c r="Z1270">
        <v>2</v>
      </c>
      <c r="AA1270">
        <v>3.25</v>
      </c>
      <c r="AB1270">
        <v>2.08</v>
      </c>
      <c r="AC1270">
        <v>0.76</v>
      </c>
      <c r="AD1270">
        <v>8.84</v>
      </c>
      <c r="AE1270">
        <v>0.59</v>
      </c>
      <c r="AF1270">
        <v>2.92</v>
      </c>
      <c r="AG1270" t="str">
        <f>HYPERLINK("https://finance.naver.com/item/fchart.naver?code=119850", "지엔씨에너지 차트보기")</f>
        <v>지엔씨에너지 차트보기</v>
      </c>
    </row>
    <row r="1271" spans="1:33" x14ac:dyDescent="0.3">
      <c r="A1271" t="s">
        <v>5111</v>
      </c>
      <c r="B1271" t="s">
        <v>55</v>
      </c>
      <c r="C1271" t="s">
        <v>5112</v>
      </c>
      <c r="D1271">
        <v>1990382.24</v>
      </c>
      <c r="E1271" t="s">
        <v>5113</v>
      </c>
      <c r="F1271">
        <v>0</v>
      </c>
      <c r="G1271">
        <v>4.7199997901916504</v>
      </c>
      <c r="H1271">
        <v>0</v>
      </c>
      <c r="I1271">
        <v>0</v>
      </c>
      <c r="J1271" t="s">
        <v>5114</v>
      </c>
      <c r="K1271">
        <v>2660</v>
      </c>
      <c r="L1271">
        <v>4165</v>
      </c>
      <c r="M1271">
        <v>56.58</v>
      </c>
      <c r="N1271">
        <v>-16.37</v>
      </c>
      <c r="O1271">
        <v>54.71</v>
      </c>
      <c r="P1271">
        <v>2.2200000000000002</v>
      </c>
      <c r="Q1271">
        <v>-3.49</v>
      </c>
      <c r="R1271">
        <v>6.35</v>
      </c>
      <c r="S1271">
        <v>-11.55</v>
      </c>
      <c r="T1271">
        <v>3.22</v>
      </c>
      <c r="U1271">
        <v>7.32</v>
      </c>
      <c r="V1271">
        <v>2.91</v>
      </c>
      <c r="W1271">
        <v>6.3</v>
      </c>
      <c r="X1271">
        <v>5.34</v>
      </c>
      <c r="Y1271">
        <v>4.66</v>
      </c>
      <c r="Z1271">
        <v>5.08</v>
      </c>
      <c r="AA1271">
        <v>7.47</v>
      </c>
      <c r="AB1271">
        <v>0.76</v>
      </c>
      <c r="AC1271">
        <v>0.55000000000000004</v>
      </c>
      <c r="AD1271">
        <v>1.19</v>
      </c>
      <c r="AE1271">
        <v>2.48</v>
      </c>
      <c r="AF1271">
        <v>2.9216666666666669</v>
      </c>
      <c r="AG1271" t="str">
        <f>HYPERLINK("https://finance.naver.com/item/fchart.naver?code=304840", "피플바이오 차트보기")</f>
        <v>피플바이오 차트보기</v>
      </c>
    </row>
    <row r="1272" spans="1:33" x14ac:dyDescent="0.3">
      <c r="A1272" t="s">
        <v>5115</v>
      </c>
      <c r="B1272" t="s">
        <v>34</v>
      </c>
      <c r="C1272" t="s">
        <v>5116</v>
      </c>
      <c r="D1272">
        <v>477158.95</v>
      </c>
      <c r="E1272" t="s">
        <v>5117</v>
      </c>
      <c r="F1272">
        <v>6.11</v>
      </c>
      <c r="G1272">
        <v>0.25</v>
      </c>
      <c r="H1272">
        <v>798</v>
      </c>
      <c r="I1272">
        <v>2.0499999523162842</v>
      </c>
      <c r="J1272" t="s">
        <v>5118</v>
      </c>
      <c r="K1272">
        <v>5830</v>
      </c>
      <c r="L1272">
        <v>4875</v>
      </c>
      <c r="M1272">
        <v>-16.38</v>
      </c>
      <c r="N1272">
        <v>0.93</v>
      </c>
      <c r="O1272">
        <v>-1.29</v>
      </c>
      <c r="P1272">
        <v>-2.59</v>
      </c>
      <c r="Q1272">
        <v>-5.9</v>
      </c>
      <c r="R1272">
        <v>-4.26</v>
      </c>
      <c r="S1272">
        <v>-8.35</v>
      </c>
      <c r="T1272">
        <v>4.5</v>
      </c>
      <c r="U1272">
        <v>0.83</v>
      </c>
      <c r="V1272">
        <v>1.3</v>
      </c>
      <c r="W1272">
        <v>2.86</v>
      </c>
      <c r="X1272">
        <v>1.9</v>
      </c>
      <c r="Y1272">
        <v>0.88</v>
      </c>
      <c r="Z1272">
        <v>0.21</v>
      </c>
      <c r="AA1272">
        <v>1.55</v>
      </c>
      <c r="AB1272">
        <v>1.99</v>
      </c>
      <c r="AC1272">
        <v>2.06</v>
      </c>
      <c r="AD1272">
        <v>2.2400000000000002</v>
      </c>
      <c r="AE1272">
        <v>9.49</v>
      </c>
      <c r="AF1272">
        <v>2.9233333333333329</v>
      </c>
      <c r="AG1272" t="str">
        <f>HYPERLINK("https://finance.naver.com/item/fchart.naver?code=004840", "DRB동일 차트보기")</f>
        <v>DRB동일 차트보기</v>
      </c>
    </row>
    <row r="1273" spans="1:33" x14ac:dyDescent="0.3">
      <c r="A1273" t="s">
        <v>5119</v>
      </c>
      <c r="B1273" t="s">
        <v>55</v>
      </c>
      <c r="C1273" t="s">
        <v>5120</v>
      </c>
      <c r="D1273">
        <v>28552.81</v>
      </c>
      <c r="E1273" t="s">
        <v>5121</v>
      </c>
      <c r="F1273">
        <v>5.32</v>
      </c>
      <c r="G1273">
        <v>1.049999952316284</v>
      </c>
      <c r="H1273">
        <v>8118</v>
      </c>
      <c r="I1273">
        <v>4.630000114440918</v>
      </c>
      <c r="J1273" t="s">
        <v>5122</v>
      </c>
      <c r="K1273">
        <v>58100</v>
      </c>
      <c r="L1273">
        <v>43200</v>
      </c>
      <c r="M1273">
        <v>-25.65</v>
      </c>
      <c r="N1273">
        <v>0.23</v>
      </c>
      <c r="O1273">
        <v>-4.32</v>
      </c>
      <c r="P1273">
        <v>-9.0299999999999994</v>
      </c>
      <c r="Q1273">
        <v>-4.74</v>
      </c>
      <c r="R1273">
        <v>-6.29</v>
      </c>
      <c r="S1273">
        <v>-5.22</v>
      </c>
      <c r="T1273">
        <v>3.08</v>
      </c>
      <c r="U1273">
        <v>2.4</v>
      </c>
      <c r="V1273">
        <v>1.72</v>
      </c>
      <c r="W1273">
        <v>2.42</v>
      </c>
      <c r="X1273">
        <v>1.47</v>
      </c>
      <c r="Y1273">
        <v>1.25</v>
      </c>
      <c r="Z1273">
        <v>7.0000000000000007E-2</v>
      </c>
      <c r="AA1273">
        <v>1.8</v>
      </c>
      <c r="AB1273">
        <v>5.25</v>
      </c>
      <c r="AC1273">
        <v>1.96</v>
      </c>
      <c r="AD1273">
        <v>4.28</v>
      </c>
      <c r="AE1273">
        <v>4.18</v>
      </c>
      <c r="AF1273">
        <v>2.9233333333333329</v>
      </c>
      <c r="AG1273" t="str">
        <f>HYPERLINK("https://finance.naver.com/item/fchart.naver?code=215200", "메가스터디교육 차트보기")</f>
        <v>메가스터디교육 차트보기</v>
      </c>
    </row>
    <row r="1274" spans="1:33" x14ac:dyDescent="0.3">
      <c r="A1274" t="s">
        <v>5123</v>
      </c>
      <c r="B1274" t="s">
        <v>34</v>
      </c>
      <c r="C1274" t="s">
        <v>5124</v>
      </c>
      <c r="D1274">
        <v>59859.95</v>
      </c>
      <c r="E1274" t="s">
        <v>5125</v>
      </c>
      <c r="F1274">
        <v>8.2899999999999991</v>
      </c>
      <c r="G1274">
        <v>0.37999999523162842</v>
      </c>
      <c r="H1274">
        <v>2036</v>
      </c>
      <c r="I1274">
        <v>7.1100001335144043</v>
      </c>
      <c r="J1274" t="s">
        <v>5126</v>
      </c>
      <c r="K1274">
        <v>15950</v>
      </c>
      <c r="L1274">
        <v>16870</v>
      </c>
      <c r="M1274">
        <v>5.77</v>
      </c>
      <c r="N1274">
        <v>-2.2000000000000002</v>
      </c>
      <c r="O1274">
        <v>5.2</v>
      </c>
      <c r="P1274">
        <v>-4.51</v>
      </c>
      <c r="Q1274">
        <v>-2.63</v>
      </c>
      <c r="R1274">
        <v>0</v>
      </c>
      <c r="S1274">
        <v>10.62</v>
      </c>
      <c r="T1274">
        <v>0.87</v>
      </c>
      <c r="U1274">
        <v>1.05</v>
      </c>
      <c r="V1274">
        <v>1.39</v>
      </c>
      <c r="W1274">
        <v>1.39</v>
      </c>
      <c r="X1274">
        <v>1.1299999999999999</v>
      </c>
      <c r="Y1274">
        <v>2.15</v>
      </c>
      <c r="Z1274">
        <v>2.5299999999999998</v>
      </c>
      <c r="AA1274">
        <v>4.95</v>
      </c>
      <c r="AB1274">
        <v>3.24</v>
      </c>
      <c r="AC1274">
        <v>1.89</v>
      </c>
      <c r="AD1274">
        <v>0</v>
      </c>
      <c r="AE1274">
        <v>4.9400000000000004</v>
      </c>
      <c r="AF1274">
        <v>2.9249999999999998</v>
      </c>
      <c r="AG1274" t="str">
        <f>HYPERLINK("https://finance.naver.com/item/fchart.naver?code=003540", "대신증권 차트보기")</f>
        <v>대신증권 차트보기</v>
      </c>
    </row>
    <row r="1275" spans="1:33" x14ac:dyDescent="0.3">
      <c r="A1275" t="s">
        <v>5127</v>
      </c>
      <c r="B1275" t="s">
        <v>34</v>
      </c>
      <c r="C1275" t="s">
        <v>5128</v>
      </c>
      <c r="D1275">
        <v>545062</v>
      </c>
      <c r="E1275" t="s">
        <v>5129</v>
      </c>
      <c r="F1275">
        <v>4.32</v>
      </c>
      <c r="G1275">
        <v>0.67000001668930054</v>
      </c>
      <c r="H1275">
        <v>9203</v>
      </c>
      <c r="I1275">
        <v>4.0199999809265137</v>
      </c>
      <c r="J1275" t="s">
        <v>5130</v>
      </c>
      <c r="K1275">
        <v>59900</v>
      </c>
      <c r="L1275">
        <v>39800</v>
      </c>
      <c r="M1275">
        <v>-33.56</v>
      </c>
      <c r="N1275">
        <v>5.01</v>
      </c>
      <c r="O1275">
        <v>-6.48</v>
      </c>
      <c r="P1275">
        <v>1.75</v>
      </c>
      <c r="Q1275">
        <v>-3.05</v>
      </c>
      <c r="R1275">
        <v>-19.84</v>
      </c>
      <c r="S1275">
        <v>-9.36</v>
      </c>
      <c r="T1275">
        <v>2.71</v>
      </c>
      <c r="U1275">
        <v>2.84</v>
      </c>
      <c r="V1275">
        <v>1.72</v>
      </c>
      <c r="W1275">
        <v>4.5599999999999996</v>
      </c>
      <c r="X1275">
        <v>3.12</v>
      </c>
      <c r="Y1275">
        <v>1.74</v>
      </c>
      <c r="Z1275">
        <v>1.85</v>
      </c>
      <c r="AA1275">
        <v>2.2799999999999998</v>
      </c>
      <c r="AB1275">
        <v>1.02</v>
      </c>
      <c r="AC1275">
        <v>0.67</v>
      </c>
      <c r="AD1275">
        <v>6.36</v>
      </c>
      <c r="AE1275">
        <v>5.38</v>
      </c>
      <c r="AF1275">
        <v>2.9266666666666659</v>
      </c>
      <c r="AG1275" t="str">
        <f>HYPERLINK("https://finance.naver.com/item/fchart.naver?code=241560", "두산밥캣 차트보기")</f>
        <v>두산밥캣 차트보기</v>
      </c>
    </row>
    <row r="1276" spans="1:33" x14ac:dyDescent="0.3">
      <c r="A1276" t="s">
        <v>5131</v>
      </c>
      <c r="B1276" t="s">
        <v>34</v>
      </c>
      <c r="C1276" t="s">
        <v>5132</v>
      </c>
      <c r="D1276">
        <v>156244.57</v>
      </c>
      <c r="E1276" t="s">
        <v>5133</v>
      </c>
      <c r="F1276">
        <v>4.68</v>
      </c>
      <c r="G1276">
        <v>0.46000000834465032</v>
      </c>
      <c r="H1276">
        <v>897</v>
      </c>
      <c r="I1276">
        <v>1.669999957084656</v>
      </c>
      <c r="J1276" t="s">
        <v>5134</v>
      </c>
      <c r="K1276">
        <v>4115</v>
      </c>
      <c r="L1276">
        <v>4195</v>
      </c>
      <c r="M1276">
        <v>1.94</v>
      </c>
      <c r="N1276">
        <v>-4.9800000000000004</v>
      </c>
      <c r="O1276">
        <v>-10.67</v>
      </c>
      <c r="P1276">
        <v>20.88</v>
      </c>
      <c r="Q1276">
        <v>-30.08</v>
      </c>
      <c r="R1276">
        <v>22.55</v>
      </c>
      <c r="S1276">
        <v>4.0599999999999996</v>
      </c>
      <c r="T1276">
        <v>2.4900000000000002</v>
      </c>
      <c r="U1276">
        <v>3.77</v>
      </c>
      <c r="V1276">
        <v>5.27</v>
      </c>
      <c r="W1276">
        <v>7.06</v>
      </c>
      <c r="X1276">
        <v>7.33</v>
      </c>
      <c r="Y1276">
        <v>2.84</v>
      </c>
      <c r="Z1276">
        <v>2</v>
      </c>
      <c r="AA1276">
        <v>2.83</v>
      </c>
      <c r="AB1276">
        <v>3.96</v>
      </c>
      <c r="AC1276">
        <v>4.26</v>
      </c>
      <c r="AD1276">
        <v>3.08</v>
      </c>
      <c r="AE1276">
        <v>1.43</v>
      </c>
      <c r="AF1276">
        <v>2.9266666666666659</v>
      </c>
      <c r="AG1276" t="str">
        <f>HYPERLINK("https://finance.naver.com/item/fchart.naver?code=009070", "KCTC 차트보기")</f>
        <v>KCTC 차트보기</v>
      </c>
    </row>
    <row r="1277" spans="1:33" x14ac:dyDescent="0.3">
      <c r="A1277" t="s">
        <v>5135</v>
      </c>
      <c r="B1277" t="s">
        <v>55</v>
      </c>
      <c r="C1277" t="s">
        <v>5136</v>
      </c>
      <c r="D1277">
        <v>1114239.95</v>
      </c>
      <c r="E1277" t="s">
        <v>5137</v>
      </c>
      <c r="F1277">
        <v>0</v>
      </c>
      <c r="G1277">
        <v>1.120000004768372</v>
      </c>
      <c r="H1277">
        <v>0</v>
      </c>
      <c r="I1277">
        <v>0</v>
      </c>
      <c r="J1277" t="s">
        <v>5138</v>
      </c>
      <c r="K1277">
        <v>2550</v>
      </c>
      <c r="L1277">
        <v>1973</v>
      </c>
      <c r="M1277">
        <v>-22.63</v>
      </c>
      <c r="N1277">
        <v>-2.57</v>
      </c>
      <c r="O1277">
        <v>1.42</v>
      </c>
      <c r="P1277">
        <v>-18.2</v>
      </c>
      <c r="Q1277">
        <v>12.13</v>
      </c>
      <c r="R1277">
        <v>-18.18</v>
      </c>
      <c r="S1277">
        <v>4.84</v>
      </c>
      <c r="T1277">
        <v>2.87</v>
      </c>
      <c r="U1277">
        <v>1.99</v>
      </c>
      <c r="V1277">
        <v>2.81</v>
      </c>
      <c r="W1277">
        <v>7.87</v>
      </c>
      <c r="X1277">
        <v>2.5299999999999998</v>
      </c>
      <c r="Y1277">
        <v>6.58</v>
      </c>
      <c r="Z1277">
        <v>0.9</v>
      </c>
      <c r="AA1277">
        <v>0.71</v>
      </c>
      <c r="AB1277">
        <v>6.48</v>
      </c>
      <c r="AC1277">
        <v>1.54</v>
      </c>
      <c r="AD1277">
        <v>7.19</v>
      </c>
      <c r="AE1277">
        <v>0.74</v>
      </c>
      <c r="AF1277">
        <v>2.9266666666666659</v>
      </c>
      <c r="AG1277" t="str">
        <f>HYPERLINK("https://finance.naver.com/item/fchart.naver?code=033230", "인성정보 차트보기")</f>
        <v>인성정보 차트보기</v>
      </c>
    </row>
    <row r="1278" spans="1:33" x14ac:dyDescent="0.3">
      <c r="A1278" t="s">
        <v>5139</v>
      </c>
      <c r="B1278" t="s">
        <v>55</v>
      </c>
      <c r="C1278" t="s">
        <v>5140</v>
      </c>
      <c r="D1278">
        <v>33945.19</v>
      </c>
      <c r="E1278" t="s">
        <v>5141</v>
      </c>
      <c r="F1278">
        <v>0</v>
      </c>
      <c r="G1278">
        <v>1</v>
      </c>
      <c r="H1278">
        <v>0</v>
      </c>
      <c r="I1278">
        <v>0</v>
      </c>
      <c r="J1278" t="s">
        <v>5142</v>
      </c>
      <c r="K1278">
        <v>1456</v>
      </c>
      <c r="L1278">
        <v>1310</v>
      </c>
      <c r="M1278">
        <v>-10.029999999999999</v>
      </c>
      <c r="N1278">
        <v>8.7100000000000009</v>
      </c>
      <c r="O1278">
        <v>-4.1100000000000003</v>
      </c>
      <c r="P1278">
        <v>-1.39</v>
      </c>
      <c r="Q1278">
        <v>-13.56</v>
      </c>
      <c r="R1278">
        <v>6.97</v>
      </c>
      <c r="S1278">
        <v>-6.53</v>
      </c>
      <c r="T1278">
        <v>2.2999999999999998</v>
      </c>
      <c r="U1278">
        <v>1.46</v>
      </c>
      <c r="V1278">
        <v>1.83</v>
      </c>
      <c r="W1278">
        <v>3.93</v>
      </c>
      <c r="X1278">
        <v>2.33</v>
      </c>
      <c r="Y1278">
        <v>1.74</v>
      </c>
      <c r="Z1278">
        <v>3.79</v>
      </c>
      <c r="AA1278">
        <v>2.82</v>
      </c>
      <c r="AB1278">
        <v>0.76</v>
      </c>
      <c r="AC1278">
        <v>3.45</v>
      </c>
      <c r="AD1278">
        <v>2.99</v>
      </c>
      <c r="AE1278">
        <v>3.75</v>
      </c>
      <c r="AF1278">
        <v>2.9266666666666672</v>
      </c>
      <c r="AG1278" t="str">
        <f>HYPERLINK("https://finance.naver.com/item/fchart.naver?code=069330", "유아이디 차트보기")</f>
        <v>유아이디 차트보기</v>
      </c>
    </row>
    <row r="1279" spans="1:33" x14ac:dyDescent="0.3">
      <c r="A1279" t="s">
        <v>5143</v>
      </c>
      <c r="B1279" t="s">
        <v>55</v>
      </c>
      <c r="C1279" t="s">
        <v>5144</v>
      </c>
      <c r="D1279">
        <v>9448.19</v>
      </c>
      <c r="E1279" t="s">
        <v>5145</v>
      </c>
      <c r="F1279">
        <v>4.25</v>
      </c>
      <c r="G1279">
        <v>0.62999999523162842</v>
      </c>
      <c r="H1279">
        <v>498</v>
      </c>
      <c r="I1279">
        <v>4.7300000190734863</v>
      </c>
      <c r="J1279" t="s">
        <v>5146</v>
      </c>
      <c r="K1279">
        <v>2850</v>
      </c>
      <c r="L1279">
        <v>2115</v>
      </c>
      <c r="M1279">
        <v>-25.79</v>
      </c>
      <c r="N1279">
        <v>-0.24</v>
      </c>
      <c r="O1279">
        <v>-2.0699999999999998</v>
      </c>
      <c r="P1279">
        <v>-5.45</v>
      </c>
      <c r="Q1279">
        <v>-7.8</v>
      </c>
      <c r="R1279">
        <v>-17.239999999999998</v>
      </c>
      <c r="S1279">
        <v>-11.59</v>
      </c>
      <c r="T1279">
        <v>1.24</v>
      </c>
      <c r="U1279">
        <v>1.1599999999999999</v>
      </c>
      <c r="V1279">
        <v>1.83</v>
      </c>
      <c r="W1279">
        <v>3.86</v>
      </c>
      <c r="X1279">
        <v>2.1</v>
      </c>
      <c r="Y1279">
        <v>4.87</v>
      </c>
      <c r="Z1279">
        <v>0.19</v>
      </c>
      <c r="AA1279">
        <v>1.78</v>
      </c>
      <c r="AB1279">
        <v>2.98</v>
      </c>
      <c r="AC1279">
        <v>2.02</v>
      </c>
      <c r="AD1279">
        <v>8.2100000000000009</v>
      </c>
      <c r="AE1279">
        <v>2.38</v>
      </c>
      <c r="AF1279">
        <v>2.9266666666666672</v>
      </c>
      <c r="AG1279" t="str">
        <f>HYPERLINK("https://finance.naver.com/item/fchart.naver?code=263770", "유에스티 차트보기")</f>
        <v>유에스티 차트보기</v>
      </c>
    </row>
    <row r="1280" spans="1:33" x14ac:dyDescent="0.3">
      <c r="A1280" t="s">
        <v>5147</v>
      </c>
      <c r="B1280" t="s">
        <v>55</v>
      </c>
      <c r="C1280" t="s">
        <v>5148</v>
      </c>
      <c r="D1280">
        <v>32838.050000000003</v>
      </c>
      <c r="E1280" t="s">
        <v>5149</v>
      </c>
      <c r="F1280">
        <v>15.9</v>
      </c>
      <c r="G1280">
        <v>2.4200000762939449</v>
      </c>
      <c r="H1280">
        <v>3073</v>
      </c>
      <c r="I1280">
        <v>0.31000000238418579</v>
      </c>
      <c r="J1280" t="s">
        <v>5150</v>
      </c>
      <c r="K1280">
        <v>70700</v>
      </c>
      <c r="L1280">
        <v>48850</v>
      </c>
      <c r="M1280">
        <v>-30.91</v>
      </c>
      <c r="N1280">
        <v>-10.199999999999999</v>
      </c>
      <c r="O1280">
        <v>-4.66</v>
      </c>
      <c r="P1280">
        <v>10.78</v>
      </c>
      <c r="Q1280">
        <v>-13.63</v>
      </c>
      <c r="R1280">
        <v>-19.72</v>
      </c>
      <c r="S1280">
        <v>-7.09</v>
      </c>
      <c r="T1280">
        <v>4.54</v>
      </c>
      <c r="U1280">
        <v>4.13</v>
      </c>
      <c r="V1280">
        <v>4.2</v>
      </c>
      <c r="W1280">
        <v>5.23</v>
      </c>
      <c r="X1280">
        <v>2.76</v>
      </c>
      <c r="Y1280">
        <v>3.8</v>
      </c>
      <c r="Z1280">
        <v>2.25</v>
      </c>
      <c r="AA1280">
        <v>1.1299999999999999</v>
      </c>
      <c r="AB1280">
        <v>2.57</v>
      </c>
      <c r="AC1280">
        <v>2.61</v>
      </c>
      <c r="AD1280">
        <v>7.14</v>
      </c>
      <c r="AE1280">
        <v>1.87</v>
      </c>
      <c r="AF1280">
        <v>2.9283333333333328</v>
      </c>
      <c r="AG1280" t="str">
        <f>HYPERLINK("https://finance.naver.com/item/fchart.naver?code=372170", "윤성에프앤씨 차트보기")</f>
        <v>윤성에프앤씨 차트보기</v>
      </c>
    </row>
    <row r="1281" spans="1:33" x14ac:dyDescent="0.3">
      <c r="A1281" t="s">
        <v>5151</v>
      </c>
      <c r="B1281" t="s">
        <v>34</v>
      </c>
      <c r="C1281" t="s">
        <v>5152</v>
      </c>
      <c r="D1281">
        <v>457501.52</v>
      </c>
      <c r="E1281" t="s">
        <v>5153</v>
      </c>
      <c r="F1281">
        <v>16.7</v>
      </c>
      <c r="G1281">
        <v>0.43999999761581421</v>
      </c>
      <c r="H1281">
        <v>77</v>
      </c>
      <c r="I1281">
        <v>5.440000057220459</v>
      </c>
      <c r="J1281" t="s">
        <v>5154</v>
      </c>
      <c r="K1281">
        <v>1290</v>
      </c>
      <c r="L1281">
        <v>1286</v>
      </c>
      <c r="M1281">
        <v>-0.31</v>
      </c>
      <c r="N1281">
        <v>4.8099999999999996</v>
      </c>
      <c r="O1281">
        <v>4.75</v>
      </c>
      <c r="P1281">
        <v>-1.64</v>
      </c>
      <c r="Q1281">
        <v>-9.49</v>
      </c>
      <c r="R1281">
        <v>0.38</v>
      </c>
      <c r="S1281">
        <v>2.2000000000000002</v>
      </c>
      <c r="T1281">
        <v>2.71</v>
      </c>
      <c r="U1281">
        <v>0.88</v>
      </c>
      <c r="V1281">
        <v>1.35</v>
      </c>
      <c r="W1281">
        <v>2.4500000000000002</v>
      </c>
      <c r="X1281">
        <v>1.85</v>
      </c>
      <c r="Y1281">
        <v>0.43</v>
      </c>
      <c r="Z1281">
        <v>1.77</v>
      </c>
      <c r="AA1281">
        <v>5.4</v>
      </c>
      <c r="AB1281">
        <v>1.21</v>
      </c>
      <c r="AC1281">
        <v>3.87</v>
      </c>
      <c r="AD1281">
        <v>0.21</v>
      </c>
      <c r="AE1281">
        <v>5.12</v>
      </c>
      <c r="AF1281">
        <v>2.93</v>
      </c>
      <c r="AG1281" t="str">
        <f>HYPERLINK("https://finance.naver.com/item/fchart.naver?code=009270", "신원 차트보기")</f>
        <v>신원 차트보기</v>
      </c>
    </row>
    <row r="1282" spans="1:33" x14ac:dyDescent="0.3">
      <c r="A1282" t="s">
        <v>5155</v>
      </c>
      <c r="B1282" t="s">
        <v>55</v>
      </c>
      <c r="C1282" t="s">
        <v>5156</v>
      </c>
      <c r="D1282">
        <v>28478.1</v>
      </c>
      <c r="E1282" t="s">
        <v>5157</v>
      </c>
      <c r="F1282">
        <v>35.08</v>
      </c>
      <c r="G1282">
        <v>0.31000000238418579</v>
      </c>
      <c r="H1282">
        <v>64</v>
      </c>
      <c r="I1282">
        <v>2.2300000190734859</v>
      </c>
      <c r="J1282" t="s">
        <v>5158</v>
      </c>
      <c r="K1282">
        <v>3090</v>
      </c>
      <c r="L1282">
        <v>2245</v>
      </c>
      <c r="M1282">
        <v>-27.35</v>
      </c>
      <c r="N1282">
        <v>-3.65</v>
      </c>
      <c r="O1282">
        <v>-5.89</v>
      </c>
      <c r="P1282">
        <v>-6.93</v>
      </c>
      <c r="Q1282">
        <v>-8.7799999999999994</v>
      </c>
      <c r="R1282">
        <v>-5.05</v>
      </c>
      <c r="S1282">
        <v>-1.46</v>
      </c>
      <c r="T1282">
        <v>2.86</v>
      </c>
      <c r="U1282">
        <v>2.17</v>
      </c>
      <c r="V1282">
        <v>2.02</v>
      </c>
      <c r="W1282">
        <v>3.55</v>
      </c>
      <c r="X1282">
        <v>0.84</v>
      </c>
      <c r="Y1282">
        <v>0.87</v>
      </c>
      <c r="Z1282">
        <v>1.28</v>
      </c>
      <c r="AA1282">
        <v>2.71</v>
      </c>
      <c r="AB1282">
        <v>3.43</v>
      </c>
      <c r="AC1282">
        <v>2.4700000000000002</v>
      </c>
      <c r="AD1282">
        <v>6.01</v>
      </c>
      <c r="AE1282">
        <v>1.68</v>
      </c>
      <c r="AF1282">
        <v>2.93</v>
      </c>
      <c r="AG1282" t="str">
        <f>HYPERLINK("https://finance.naver.com/item/fchart.naver?code=063760", "이엘피 차트보기")</f>
        <v>이엘피 차트보기</v>
      </c>
    </row>
    <row r="1283" spans="1:33" x14ac:dyDescent="0.3">
      <c r="A1283" t="s">
        <v>5159</v>
      </c>
      <c r="B1283" t="s">
        <v>55</v>
      </c>
      <c r="C1283" t="s">
        <v>5160</v>
      </c>
      <c r="D1283">
        <v>102623.71</v>
      </c>
      <c r="E1283" t="s">
        <v>5161</v>
      </c>
      <c r="F1283">
        <v>0</v>
      </c>
      <c r="G1283">
        <v>3.3299999237060551</v>
      </c>
      <c r="H1283">
        <v>0</v>
      </c>
      <c r="I1283">
        <v>0</v>
      </c>
      <c r="J1283" t="s">
        <v>5162</v>
      </c>
      <c r="K1283">
        <v>16090</v>
      </c>
      <c r="L1283">
        <v>12110</v>
      </c>
      <c r="M1283">
        <v>-24.74</v>
      </c>
      <c r="N1283">
        <v>-5.17</v>
      </c>
      <c r="O1283">
        <v>-9.2799999999999994</v>
      </c>
      <c r="P1283">
        <v>-2.75</v>
      </c>
      <c r="Q1283">
        <v>-6.87</v>
      </c>
      <c r="R1283">
        <v>1.69</v>
      </c>
      <c r="S1283">
        <v>-11.31</v>
      </c>
      <c r="T1283">
        <v>2.54</v>
      </c>
      <c r="U1283">
        <v>2.23</v>
      </c>
      <c r="V1283">
        <v>2.02</v>
      </c>
      <c r="W1283">
        <v>4.5199999999999996</v>
      </c>
      <c r="X1283">
        <v>2.58</v>
      </c>
      <c r="Y1283">
        <v>1.44</v>
      </c>
      <c r="Z1283">
        <v>2.04</v>
      </c>
      <c r="AA1283">
        <v>4.16</v>
      </c>
      <c r="AB1283">
        <v>1.36</v>
      </c>
      <c r="AC1283">
        <v>1.52</v>
      </c>
      <c r="AD1283">
        <v>0.66</v>
      </c>
      <c r="AE1283">
        <v>7.85</v>
      </c>
      <c r="AF1283">
        <v>2.9316666666666671</v>
      </c>
      <c r="AG1283" t="str">
        <f>HYPERLINK("https://finance.naver.com/item/fchart.naver?code=323990", "박셀바이오 차트보기")</f>
        <v>박셀바이오 차트보기</v>
      </c>
    </row>
    <row r="1284" spans="1:33" x14ac:dyDescent="0.3">
      <c r="A1284" t="s">
        <v>5163</v>
      </c>
      <c r="B1284" t="s">
        <v>55</v>
      </c>
      <c r="C1284" t="s">
        <v>5164</v>
      </c>
      <c r="D1284">
        <v>13783.33</v>
      </c>
      <c r="E1284" t="s">
        <v>5165</v>
      </c>
      <c r="F1284">
        <v>7.37</v>
      </c>
      <c r="G1284">
        <v>0.68000000715255737</v>
      </c>
      <c r="H1284">
        <v>1951</v>
      </c>
      <c r="I1284">
        <v>2.089999914169312</v>
      </c>
      <c r="J1284" t="s">
        <v>5166</v>
      </c>
      <c r="K1284">
        <v>17890</v>
      </c>
      <c r="L1284">
        <v>14380</v>
      </c>
      <c r="M1284">
        <v>-19.62</v>
      </c>
      <c r="N1284">
        <v>-0.42</v>
      </c>
      <c r="O1284">
        <v>-5.98</v>
      </c>
      <c r="P1284">
        <v>4.59</v>
      </c>
      <c r="Q1284">
        <v>-11.05</v>
      </c>
      <c r="R1284">
        <v>3.09</v>
      </c>
      <c r="S1284">
        <v>-6.35</v>
      </c>
      <c r="T1284">
        <v>0.77</v>
      </c>
      <c r="U1284">
        <v>1.5</v>
      </c>
      <c r="V1284">
        <v>2.0099999999999998</v>
      </c>
      <c r="W1284">
        <v>2.88</v>
      </c>
      <c r="X1284">
        <v>2.16</v>
      </c>
      <c r="Y1284">
        <v>1.1499999999999999</v>
      </c>
      <c r="Z1284">
        <v>0.55000000000000004</v>
      </c>
      <c r="AA1284">
        <v>3.99</v>
      </c>
      <c r="AB1284">
        <v>2.2799999999999998</v>
      </c>
      <c r="AC1284">
        <v>3.84</v>
      </c>
      <c r="AD1284">
        <v>1.43</v>
      </c>
      <c r="AE1284">
        <v>5.52</v>
      </c>
      <c r="AF1284">
        <v>2.9350000000000001</v>
      </c>
      <c r="AG1284" t="str">
        <f>HYPERLINK("https://finance.naver.com/item/fchart.naver?code=143160", "아이디스 차트보기")</f>
        <v>아이디스 차트보기</v>
      </c>
    </row>
    <row r="1285" spans="1:33" x14ac:dyDescent="0.3">
      <c r="A1285" t="s">
        <v>5167</v>
      </c>
      <c r="B1285" t="s">
        <v>55</v>
      </c>
      <c r="C1285" t="s">
        <v>5168</v>
      </c>
      <c r="D1285">
        <v>16782.900000000001</v>
      </c>
      <c r="E1285" t="s">
        <v>5169</v>
      </c>
      <c r="F1285">
        <v>0</v>
      </c>
      <c r="G1285">
        <v>0.55000001192092896</v>
      </c>
      <c r="H1285">
        <v>0</v>
      </c>
      <c r="I1285">
        <v>2.0699999332427979</v>
      </c>
      <c r="J1285" t="s">
        <v>5170</v>
      </c>
      <c r="K1285">
        <v>6920</v>
      </c>
      <c r="L1285">
        <v>6270</v>
      </c>
      <c r="M1285">
        <v>-9.39</v>
      </c>
      <c r="N1285">
        <v>0.97</v>
      </c>
      <c r="O1285">
        <v>4.7300000000000004</v>
      </c>
      <c r="P1285">
        <v>-4.5599999999999996</v>
      </c>
      <c r="Q1285">
        <v>-1.9</v>
      </c>
      <c r="R1285">
        <v>-3.26</v>
      </c>
      <c r="S1285">
        <v>-7.59</v>
      </c>
      <c r="T1285">
        <v>0.71</v>
      </c>
      <c r="U1285">
        <v>0.76</v>
      </c>
      <c r="V1285">
        <v>1.66</v>
      </c>
      <c r="W1285">
        <v>3.67</v>
      </c>
      <c r="X1285">
        <v>1.46</v>
      </c>
      <c r="Y1285">
        <v>1.68</v>
      </c>
      <c r="Z1285">
        <v>1.37</v>
      </c>
      <c r="AA1285">
        <v>6.22</v>
      </c>
      <c r="AB1285">
        <v>2.75</v>
      </c>
      <c r="AC1285">
        <v>0.52</v>
      </c>
      <c r="AD1285">
        <v>2.23</v>
      </c>
      <c r="AE1285">
        <v>4.5199999999999996</v>
      </c>
      <c r="AF1285">
        <v>2.9350000000000001</v>
      </c>
      <c r="AG1285" t="str">
        <f>HYPERLINK("https://finance.naver.com/item/fchart.naver?code=039010", "현대에이치티 차트보기")</f>
        <v>현대에이치티 차트보기</v>
      </c>
    </row>
    <row r="1286" spans="1:33" x14ac:dyDescent="0.3">
      <c r="A1286" t="s">
        <v>5171</v>
      </c>
      <c r="B1286" t="s">
        <v>34</v>
      </c>
      <c r="C1286" t="s">
        <v>5172</v>
      </c>
      <c r="D1286">
        <v>94.19</v>
      </c>
      <c r="E1286" t="s">
        <v>5173</v>
      </c>
      <c r="F1286">
        <v>0</v>
      </c>
      <c r="G1286">
        <v>0</v>
      </c>
      <c r="H1286">
        <v>0</v>
      </c>
      <c r="I1286">
        <v>2.869999885559082</v>
      </c>
      <c r="J1286" t="s">
        <v>5174</v>
      </c>
      <c r="K1286">
        <v>23650</v>
      </c>
      <c r="L1286">
        <v>22650</v>
      </c>
      <c r="M1286">
        <v>-4.2300000000000004</v>
      </c>
      <c r="N1286">
        <v>-1.74</v>
      </c>
      <c r="O1286">
        <v>4.78</v>
      </c>
      <c r="P1286">
        <v>-6.18</v>
      </c>
      <c r="Q1286">
        <v>-6.4</v>
      </c>
      <c r="R1286">
        <v>-1.66</v>
      </c>
      <c r="S1286">
        <v>5.1100000000000003</v>
      </c>
      <c r="T1286">
        <v>1.27</v>
      </c>
      <c r="U1286">
        <v>3.14</v>
      </c>
      <c r="V1286">
        <v>1.52</v>
      </c>
      <c r="W1286">
        <v>1.49</v>
      </c>
      <c r="X1286">
        <v>1.52</v>
      </c>
      <c r="Y1286">
        <v>0.97</v>
      </c>
      <c r="Z1286">
        <v>1.37</v>
      </c>
      <c r="AA1286">
        <v>1.52</v>
      </c>
      <c r="AB1286">
        <v>4.07</v>
      </c>
      <c r="AC1286">
        <v>4.3</v>
      </c>
      <c r="AD1286">
        <v>1.0900000000000001</v>
      </c>
      <c r="AE1286">
        <v>5.27</v>
      </c>
      <c r="AF1286">
        <v>2.936666666666667</v>
      </c>
      <c r="AG1286" t="str">
        <f>HYPERLINK("https://finance.naver.com/item/fchart.naver?code=014825", "동원시스템즈우 차트보기")</f>
        <v>동원시스템즈우 차트보기</v>
      </c>
    </row>
    <row r="1287" spans="1:33" x14ac:dyDescent="0.3">
      <c r="A1287" t="s">
        <v>5175</v>
      </c>
      <c r="B1287" t="s">
        <v>55</v>
      </c>
      <c r="C1287" t="s">
        <v>5176</v>
      </c>
      <c r="D1287">
        <v>9693.81</v>
      </c>
      <c r="E1287" t="s">
        <v>5177</v>
      </c>
      <c r="F1287">
        <v>0</v>
      </c>
      <c r="G1287">
        <v>0</v>
      </c>
      <c r="H1287">
        <v>0</v>
      </c>
      <c r="I1287">
        <v>0</v>
      </c>
      <c r="J1287" t="s">
        <v>5178</v>
      </c>
      <c r="K1287">
        <v>2065</v>
      </c>
      <c r="L1287">
        <v>2115</v>
      </c>
      <c r="M1287">
        <v>2.42</v>
      </c>
      <c r="N1287">
        <v>0</v>
      </c>
      <c r="O1287">
        <v>2.1800000000000002</v>
      </c>
      <c r="P1287">
        <v>-0.49</v>
      </c>
      <c r="Q1287">
        <v>-3.05</v>
      </c>
      <c r="R1287">
        <v>3.4</v>
      </c>
      <c r="S1287">
        <v>0.24</v>
      </c>
      <c r="T1287">
        <v>0.37</v>
      </c>
      <c r="U1287">
        <v>0.44</v>
      </c>
      <c r="V1287">
        <v>0.37</v>
      </c>
      <c r="W1287">
        <v>0.64</v>
      </c>
      <c r="X1287">
        <v>0.56999999999999995</v>
      </c>
      <c r="Y1287">
        <v>0.38</v>
      </c>
      <c r="Z1287">
        <v>0</v>
      </c>
      <c r="AA1287">
        <v>4.95</v>
      </c>
      <c r="AB1287">
        <v>1.32</v>
      </c>
      <c r="AC1287">
        <v>4.7699999999999996</v>
      </c>
      <c r="AD1287">
        <v>5.96</v>
      </c>
      <c r="AE1287">
        <v>0.63</v>
      </c>
      <c r="AF1287">
        <v>2.938333333333333</v>
      </c>
      <c r="AG1287" t="str">
        <f>HYPERLINK("https://finance.naver.com/item/fchart.naver?code=477760", "DB금융스팩12호 차트보기")</f>
        <v>DB금융스팩12호 차트보기</v>
      </c>
    </row>
    <row r="1288" spans="1:33" x14ac:dyDescent="0.3">
      <c r="A1288" t="s">
        <v>5179</v>
      </c>
      <c r="B1288" t="s">
        <v>55</v>
      </c>
      <c r="C1288" t="s">
        <v>5180</v>
      </c>
      <c r="D1288">
        <v>92048.86</v>
      </c>
      <c r="E1288" t="s">
        <v>5181</v>
      </c>
      <c r="F1288">
        <v>0</v>
      </c>
      <c r="G1288">
        <v>1.129999995231628</v>
      </c>
      <c r="H1288">
        <v>0</v>
      </c>
      <c r="I1288">
        <v>1.669999957084656</v>
      </c>
      <c r="J1288" t="s">
        <v>5182</v>
      </c>
      <c r="K1288">
        <v>4285</v>
      </c>
      <c r="L1288">
        <v>2510</v>
      </c>
      <c r="M1288">
        <v>-41.42</v>
      </c>
      <c r="N1288">
        <v>-4.38</v>
      </c>
      <c r="O1288">
        <v>-8.65</v>
      </c>
      <c r="P1288">
        <v>-4.9800000000000004</v>
      </c>
      <c r="Q1288">
        <v>1.87</v>
      </c>
      <c r="R1288">
        <v>-10.67</v>
      </c>
      <c r="S1288">
        <v>-9.09</v>
      </c>
      <c r="T1288">
        <v>2.98</v>
      </c>
      <c r="U1288">
        <v>2.11</v>
      </c>
      <c r="V1288">
        <v>2.58</v>
      </c>
      <c r="W1288">
        <v>9.01</v>
      </c>
      <c r="X1288">
        <v>2.2400000000000002</v>
      </c>
      <c r="Y1288">
        <v>1.76</v>
      </c>
      <c r="Z1288">
        <v>1.47</v>
      </c>
      <c r="AA1288">
        <v>4.0999999999999996</v>
      </c>
      <c r="AB1288">
        <v>1.93</v>
      </c>
      <c r="AC1288">
        <v>0.21</v>
      </c>
      <c r="AD1288">
        <v>4.76</v>
      </c>
      <c r="AE1288">
        <v>5.16</v>
      </c>
      <c r="AF1288">
        <v>2.938333333333333</v>
      </c>
      <c r="AG1288" t="str">
        <f>HYPERLINK("https://finance.naver.com/item/fchart.naver?code=452300", "캡스톤파트너스 차트보기")</f>
        <v>캡스톤파트너스 차트보기</v>
      </c>
    </row>
    <row r="1289" spans="1:33" x14ac:dyDescent="0.3">
      <c r="A1289" t="s">
        <v>5183</v>
      </c>
      <c r="B1289" t="s">
        <v>55</v>
      </c>
      <c r="C1289" t="s">
        <v>5184</v>
      </c>
      <c r="D1289">
        <v>1681832.24</v>
      </c>
      <c r="E1289" t="s">
        <v>5185</v>
      </c>
      <c r="F1289">
        <v>74.52</v>
      </c>
      <c r="G1289">
        <v>3.8199999332427979</v>
      </c>
      <c r="H1289">
        <v>469</v>
      </c>
      <c r="I1289">
        <v>0</v>
      </c>
      <c r="J1289" t="s">
        <v>5186</v>
      </c>
      <c r="K1289">
        <v>52200</v>
      </c>
      <c r="L1289">
        <v>34950</v>
      </c>
      <c r="M1289">
        <v>-33.049999999999997</v>
      </c>
      <c r="N1289">
        <v>-14.13</v>
      </c>
      <c r="O1289">
        <v>54.38</v>
      </c>
      <c r="P1289">
        <v>-4.3099999999999996</v>
      </c>
      <c r="Q1289">
        <v>-29.14</v>
      </c>
      <c r="R1289">
        <v>-3.83</v>
      </c>
      <c r="S1289">
        <v>-4.2699999999999996</v>
      </c>
      <c r="T1289">
        <v>3.96</v>
      </c>
      <c r="U1289">
        <v>8.9700000000000006</v>
      </c>
      <c r="V1289">
        <v>3.71</v>
      </c>
      <c r="W1289">
        <v>6.62</v>
      </c>
      <c r="X1289">
        <v>3.46</v>
      </c>
      <c r="Y1289">
        <v>3.2</v>
      </c>
      <c r="Z1289">
        <v>3.57</v>
      </c>
      <c r="AA1289">
        <v>6.06</v>
      </c>
      <c r="AB1289">
        <v>1.1599999999999999</v>
      </c>
      <c r="AC1289">
        <v>4.4000000000000004</v>
      </c>
      <c r="AD1289">
        <v>1.1100000000000001</v>
      </c>
      <c r="AE1289">
        <v>1.33</v>
      </c>
      <c r="AF1289">
        <v>2.9383333333333339</v>
      </c>
      <c r="AG1289" t="str">
        <f>HYPERLINK("https://finance.naver.com/item/fchart.naver?code=445090", "에이직랜드 차트보기")</f>
        <v>에이직랜드 차트보기</v>
      </c>
    </row>
    <row r="1290" spans="1:33" x14ac:dyDescent="0.3">
      <c r="A1290" t="s">
        <v>5187</v>
      </c>
      <c r="B1290" t="s">
        <v>55</v>
      </c>
      <c r="C1290" t="s">
        <v>5188</v>
      </c>
      <c r="D1290">
        <v>153138.29</v>
      </c>
      <c r="E1290" t="s">
        <v>5189</v>
      </c>
      <c r="F1290">
        <v>0</v>
      </c>
      <c r="G1290">
        <v>14.170000076293951</v>
      </c>
      <c r="H1290">
        <v>0</v>
      </c>
      <c r="I1290">
        <v>0</v>
      </c>
      <c r="J1290" t="s">
        <v>5190</v>
      </c>
      <c r="K1290">
        <v>20800</v>
      </c>
      <c r="L1290">
        <v>16110</v>
      </c>
      <c r="M1290">
        <v>-22.55</v>
      </c>
      <c r="N1290">
        <v>-6.34</v>
      </c>
      <c r="O1290">
        <v>-8.61</v>
      </c>
      <c r="P1290">
        <v>-1.85</v>
      </c>
      <c r="Q1290">
        <v>9.3800000000000008</v>
      </c>
      <c r="R1290">
        <v>1.22</v>
      </c>
      <c r="S1290">
        <v>-8.61</v>
      </c>
      <c r="T1290">
        <v>1.88</v>
      </c>
      <c r="U1290">
        <v>1.24</v>
      </c>
      <c r="V1290">
        <v>2.17</v>
      </c>
      <c r="W1290">
        <v>5.44</v>
      </c>
      <c r="X1290">
        <v>2.42</v>
      </c>
      <c r="Y1290">
        <v>2.02</v>
      </c>
      <c r="Z1290">
        <v>3.37</v>
      </c>
      <c r="AA1290">
        <v>6.94</v>
      </c>
      <c r="AB1290">
        <v>0.85</v>
      </c>
      <c r="AC1290">
        <v>1.72</v>
      </c>
      <c r="AD1290">
        <v>0.5</v>
      </c>
      <c r="AE1290">
        <v>4.26</v>
      </c>
      <c r="AF1290">
        <v>2.94</v>
      </c>
      <c r="AG1290" t="str">
        <f>HYPERLINK("https://finance.naver.com/item/fchart.naver?code=048410", "현대바이오 차트보기")</f>
        <v>현대바이오 차트보기</v>
      </c>
    </row>
    <row r="1291" spans="1:33" x14ac:dyDescent="0.3">
      <c r="A1291" t="s">
        <v>5191</v>
      </c>
      <c r="B1291" t="s">
        <v>55</v>
      </c>
      <c r="C1291" t="s">
        <v>5192</v>
      </c>
      <c r="D1291">
        <v>85280.81</v>
      </c>
      <c r="E1291" t="s">
        <v>5193</v>
      </c>
      <c r="F1291">
        <v>17.39</v>
      </c>
      <c r="G1291">
        <v>0.67000001668930054</v>
      </c>
      <c r="H1291">
        <v>161</v>
      </c>
      <c r="I1291">
        <v>2.1400001049041748</v>
      </c>
      <c r="J1291" t="s">
        <v>5194</v>
      </c>
      <c r="K1291">
        <v>3525</v>
      </c>
      <c r="L1291">
        <v>2800</v>
      </c>
      <c r="M1291">
        <v>-20.57</v>
      </c>
      <c r="N1291">
        <v>-2.44</v>
      </c>
      <c r="O1291">
        <v>2.11</v>
      </c>
      <c r="P1291">
        <v>1.6</v>
      </c>
      <c r="Q1291">
        <v>-10.19</v>
      </c>
      <c r="R1291">
        <v>-8.31</v>
      </c>
      <c r="S1291">
        <v>-3.49</v>
      </c>
      <c r="T1291">
        <v>1.28</v>
      </c>
      <c r="U1291">
        <v>1.64</v>
      </c>
      <c r="V1291">
        <v>1.59</v>
      </c>
      <c r="W1291">
        <v>3.39</v>
      </c>
      <c r="X1291">
        <v>1.25</v>
      </c>
      <c r="Y1291">
        <v>0.92</v>
      </c>
      <c r="Z1291">
        <v>1.91</v>
      </c>
      <c r="AA1291">
        <v>1.29</v>
      </c>
      <c r="AB1291">
        <v>1.01</v>
      </c>
      <c r="AC1291">
        <v>3.01</v>
      </c>
      <c r="AD1291">
        <v>6.65</v>
      </c>
      <c r="AE1291">
        <v>3.79</v>
      </c>
      <c r="AF1291">
        <v>2.9433333333333329</v>
      </c>
      <c r="AG1291" t="str">
        <f>HYPERLINK("https://finance.naver.com/item/fchart.naver?code=119500", "포메탈 차트보기")</f>
        <v>포메탈 차트보기</v>
      </c>
    </row>
    <row r="1292" spans="1:33" x14ac:dyDescent="0.3">
      <c r="A1292" t="s">
        <v>5195</v>
      </c>
      <c r="B1292" t="s">
        <v>55</v>
      </c>
      <c r="C1292" t="s">
        <v>5196</v>
      </c>
      <c r="D1292">
        <v>33635.379999999997</v>
      </c>
      <c r="E1292" t="s">
        <v>5197</v>
      </c>
      <c r="F1292">
        <v>13.95</v>
      </c>
      <c r="G1292">
        <v>1.1000000238418579</v>
      </c>
      <c r="H1292">
        <v>683</v>
      </c>
      <c r="I1292">
        <v>0</v>
      </c>
      <c r="J1292" t="s">
        <v>5198</v>
      </c>
      <c r="K1292">
        <v>10160</v>
      </c>
      <c r="L1292">
        <v>9530</v>
      </c>
      <c r="M1292">
        <v>-6.2</v>
      </c>
      <c r="N1292">
        <v>4.38</v>
      </c>
      <c r="O1292">
        <v>-2.09</v>
      </c>
      <c r="P1292">
        <v>-10.62</v>
      </c>
      <c r="Q1292">
        <v>10.3</v>
      </c>
      <c r="R1292">
        <v>-14.62</v>
      </c>
      <c r="S1292">
        <v>7.65</v>
      </c>
      <c r="T1292">
        <v>2.08</v>
      </c>
      <c r="U1292">
        <v>0.84</v>
      </c>
      <c r="V1292">
        <v>2.25</v>
      </c>
      <c r="W1292">
        <v>3.91</v>
      </c>
      <c r="X1292">
        <v>4.3099999999999996</v>
      </c>
      <c r="Y1292">
        <v>3.28</v>
      </c>
      <c r="Z1292">
        <v>2.11</v>
      </c>
      <c r="AA1292">
        <v>2.4900000000000002</v>
      </c>
      <c r="AB1292">
        <v>4.72</v>
      </c>
      <c r="AC1292">
        <v>2.63</v>
      </c>
      <c r="AD1292">
        <v>3.39</v>
      </c>
      <c r="AE1292">
        <v>2.33</v>
      </c>
      <c r="AF1292">
        <v>2.9449999999999998</v>
      </c>
      <c r="AG1292" t="str">
        <f>HYPERLINK("https://finance.naver.com/item/fchart.naver?code=051160", "지어소프트 차트보기")</f>
        <v>지어소프트 차트보기</v>
      </c>
    </row>
    <row r="1293" spans="1:33" x14ac:dyDescent="0.3">
      <c r="A1293" t="s">
        <v>5199</v>
      </c>
      <c r="B1293" t="s">
        <v>55</v>
      </c>
      <c r="C1293" t="s">
        <v>5200</v>
      </c>
      <c r="D1293">
        <v>7196992.5700000003</v>
      </c>
      <c r="E1293" t="s">
        <v>5201</v>
      </c>
      <c r="F1293">
        <v>433.33</v>
      </c>
      <c r="G1293">
        <v>1.190000057220459</v>
      </c>
      <c r="H1293">
        <v>3</v>
      </c>
      <c r="I1293">
        <v>0</v>
      </c>
      <c r="J1293" t="s">
        <v>5202</v>
      </c>
      <c r="K1293">
        <v>1941</v>
      </c>
      <c r="L1293">
        <v>1300</v>
      </c>
      <c r="M1293">
        <v>-33.020000000000003</v>
      </c>
      <c r="N1293">
        <v>-13.33</v>
      </c>
      <c r="O1293">
        <v>45.01</v>
      </c>
      <c r="P1293">
        <v>-19.48</v>
      </c>
      <c r="Q1293">
        <v>-4.24</v>
      </c>
      <c r="R1293">
        <v>-11.62</v>
      </c>
      <c r="S1293">
        <v>-6.59</v>
      </c>
      <c r="T1293">
        <v>7.45</v>
      </c>
      <c r="U1293">
        <v>9.15</v>
      </c>
      <c r="V1293">
        <v>3</v>
      </c>
      <c r="W1293">
        <v>12.61</v>
      </c>
      <c r="X1293">
        <v>6.07</v>
      </c>
      <c r="Y1293">
        <v>2.96</v>
      </c>
      <c r="Z1293">
        <v>1.79</v>
      </c>
      <c r="AA1293">
        <v>4.92</v>
      </c>
      <c r="AB1293">
        <v>6.49</v>
      </c>
      <c r="AC1293">
        <v>0.34</v>
      </c>
      <c r="AD1293">
        <v>1.91</v>
      </c>
      <c r="AE1293">
        <v>2.23</v>
      </c>
      <c r="AF1293">
        <v>2.9466666666666672</v>
      </c>
      <c r="AG1293" t="str">
        <f>HYPERLINK("https://finance.naver.com/item/fchart.naver?code=009730", "이렘 차트보기")</f>
        <v>이렘 차트보기</v>
      </c>
    </row>
    <row r="1294" spans="1:33" x14ac:dyDescent="0.3">
      <c r="A1294" t="s">
        <v>5203</v>
      </c>
      <c r="B1294" t="s">
        <v>55</v>
      </c>
      <c r="C1294" t="s">
        <v>5204</v>
      </c>
      <c r="D1294">
        <v>63525.48</v>
      </c>
      <c r="E1294" t="s">
        <v>5205</v>
      </c>
      <c r="F1294">
        <v>0</v>
      </c>
      <c r="G1294">
        <v>0.81000000238418579</v>
      </c>
      <c r="H1294">
        <v>0</v>
      </c>
      <c r="I1294">
        <v>0</v>
      </c>
      <c r="J1294" t="s">
        <v>5206</v>
      </c>
      <c r="K1294">
        <v>11890</v>
      </c>
      <c r="L1294">
        <v>9750</v>
      </c>
      <c r="M1294">
        <v>-18</v>
      </c>
      <c r="N1294">
        <v>1.46</v>
      </c>
      <c r="O1294">
        <v>21.69</v>
      </c>
      <c r="P1294">
        <v>6.17</v>
      </c>
      <c r="Q1294">
        <v>-2.96</v>
      </c>
      <c r="R1294">
        <v>-24.47</v>
      </c>
      <c r="S1294">
        <v>-5.5</v>
      </c>
      <c r="T1294">
        <v>3.49</v>
      </c>
      <c r="U1294">
        <v>3.2</v>
      </c>
      <c r="V1294">
        <v>3.29</v>
      </c>
      <c r="W1294">
        <v>3.34</v>
      </c>
      <c r="X1294">
        <v>4.09</v>
      </c>
      <c r="Y1294">
        <v>3.16</v>
      </c>
      <c r="Z1294">
        <v>0.42</v>
      </c>
      <c r="AA1294">
        <v>6.78</v>
      </c>
      <c r="AB1294">
        <v>1.88</v>
      </c>
      <c r="AC1294">
        <v>0.89</v>
      </c>
      <c r="AD1294">
        <v>5.98</v>
      </c>
      <c r="AE1294">
        <v>1.74</v>
      </c>
      <c r="AF1294">
        <v>2.9483333333333341</v>
      </c>
      <c r="AG1294" t="str">
        <f>HYPERLINK("https://finance.naver.com/item/fchart.naver?code=255440", "야스 차트보기")</f>
        <v>야스 차트보기</v>
      </c>
    </row>
    <row r="1295" spans="1:33" x14ac:dyDescent="0.3">
      <c r="A1295" t="s">
        <v>5207</v>
      </c>
      <c r="B1295" t="s">
        <v>55</v>
      </c>
      <c r="C1295" t="s">
        <v>5208</v>
      </c>
      <c r="D1295">
        <v>68557.759999999995</v>
      </c>
      <c r="E1295" t="s">
        <v>5209</v>
      </c>
      <c r="F1295">
        <v>39.35</v>
      </c>
      <c r="G1295">
        <v>0.68999999761581421</v>
      </c>
      <c r="H1295">
        <v>155</v>
      </c>
      <c r="I1295">
        <v>0</v>
      </c>
      <c r="J1295" t="s">
        <v>5210</v>
      </c>
      <c r="K1295">
        <v>7330</v>
      </c>
      <c r="L1295">
        <v>6100</v>
      </c>
      <c r="M1295">
        <v>-16.78</v>
      </c>
      <c r="N1295">
        <v>-0.49</v>
      </c>
      <c r="O1295">
        <v>-6.95</v>
      </c>
      <c r="P1295">
        <v>1.64</v>
      </c>
      <c r="Q1295">
        <v>-1.31</v>
      </c>
      <c r="R1295">
        <v>-6.58</v>
      </c>
      <c r="S1295">
        <v>-3.88</v>
      </c>
      <c r="T1295">
        <v>1.38</v>
      </c>
      <c r="U1295">
        <v>0.96</v>
      </c>
      <c r="V1295">
        <v>1.78</v>
      </c>
      <c r="W1295">
        <v>3.36</v>
      </c>
      <c r="X1295">
        <v>1.06</v>
      </c>
      <c r="Y1295">
        <v>1.51</v>
      </c>
      <c r="Z1295">
        <v>0.36</v>
      </c>
      <c r="AA1295">
        <v>7.24</v>
      </c>
      <c r="AB1295">
        <v>0.92</v>
      </c>
      <c r="AC1295">
        <v>0.39</v>
      </c>
      <c r="AD1295">
        <v>6.21</v>
      </c>
      <c r="AE1295">
        <v>2.57</v>
      </c>
      <c r="AF1295">
        <v>2.9483333333333341</v>
      </c>
      <c r="AG1295" t="str">
        <f>HYPERLINK("https://finance.naver.com/item/fchart.naver?code=097870", "효성오앤비 차트보기")</f>
        <v>효성오앤비 차트보기</v>
      </c>
    </row>
    <row r="1296" spans="1:33" x14ac:dyDescent="0.3">
      <c r="A1296" t="s">
        <v>5211</v>
      </c>
      <c r="B1296" t="s">
        <v>55</v>
      </c>
      <c r="C1296" t="s">
        <v>5212</v>
      </c>
      <c r="D1296">
        <v>2574.9499999999998</v>
      </c>
      <c r="E1296" t="s">
        <v>5213</v>
      </c>
      <c r="F1296">
        <v>0</v>
      </c>
      <c r="G1296">
        <v>0.37999999523162842</v>
      </c>
      <c r="H1296">
        <v>0</v>
      </c>
      <c r="I1296">
        <v>0.43999999761581421</v>
      </c>
      <c r="J1296" t="s">
        <v>5214</v>
      </c>
      <c r="K1296">
        <v>14090</v>
      </c>
      <c r="L1296">
        <v>11240</v>
      </c>
      <c r="M1296">
        <v>-20.23</v>
      </c>
      <c r="N1296">
        <v>-0.53</v>
      </c>
      <c r="O1296">
        <v>-4.4400000000000004</v>
      </c>
      <c r="P1296">
        <v>1.83</v>
      </c>
      <c r="Q1296">
        <v>-3.96</v>
      </c>
      <c r="R1296">
        <v>-10.39</v>
      </c>
      <c r="S1296">
        <v>-7.0000000000000007E-2</v>
      </c>
      <c r="T1296">
        <v>1.04</v>
      </c>
      <c r="U1296">
        <v>1.06</v>
      </c>
      <c r="V1296">
        <v>2.25</v>
      </c>
      <c r="W1296">
        <v>2.64</v>
      </c>
      <c r="X1296">
        <v>0.98</v>
      </c>
      <c r="Y1296">
        <v>0.79</v>
      </c>
      <c r="Z1296">
        <v>0.51</v>
      </c>
      <c r="AA1296">
        <v>4.1900000000000004</v>
      </c>
      <c r="AB1296">
        <v>0.81</v>
      </c>
      <c r="AC1296">
        <v>1.5</v>
      </c>
      <c r="AD1296">
        <v>10.6</v>
      </c>
      <c r="AE1296">
        <v>0.09</v>
      </c>
      <c r="AF1296">
        <v>2.95</v>
      </c>
      <c r="AG1296" t="str">
        <f>HYPERLINK("https://finance.naver.com/item/fchart.naver?code=007770", "한일화학 차트보기")</f>
        <v>한일화학 차트보기</v>
      </c>
    </row>
    <row r="1297" spans="1:33" x14ac:dyDescent="0.3">
      <c r="A1297" t="s">
        <v>5215</v>
      </c>
      <c r="B1297" t="s">
        <v>55</v>
      </c>
      <c r="C1297" t="s">
        <v>5216</v>
      </c>
      <c r="D1297">
        <v>52620.62</v>
      </c>
      <c r="E1297" t="s">
        <v>5217</v>
      </c>
      <c r="F1297">
        <v>8.94</v>
      </c>
      <c r="G1297">
        <v>0.60000002384185791</v>
      </c>
      <c r="H1297">
        <v>1707</v>
      </c>
      <c r="I1297">
        <v>0</v>
      </c>
      <c r="J1297" t="s">
        <v>5218</v>
      </c>
      <c r="K1297">
        <v>22600</v>
      </c>
      <c r="L1297">
        <v>15260</v>
      </c>
      <c r="M1297">
        <v>-32.479999999999997</v>
      </c>
      <c r="N1297">
        <v>11.71</v>
      </c>
      <c r="O1297">
        <v>-7.91</v>
      </c>
      <c r="P1297">
        <v>6.84</v>
      </c>
      <c r="Q1297">
        <v>-15.73</v>
      </c>
      <c r="R1297">
        <v>-3.09</v>
      </c>
      <c r="S1297">
        <v>-7.42</v>
      </c>
      <c r="T1297">
        <v>3.35</v>
      </c>
      <c r="U1297">
        <v>1.81</v>
      </c>
      <c r="V1297">
        <v>2.87</v>
      </c>
      <c r="W1297">
        <v>4.2</v>
      </c>
      <c r="X1297">
        <v>2.71</v>
      </c>
      <c r="Y1297">
        <v>2.9</v>
      </c>
      <c r="Z1297">
        <v>3.5</v>
      </c>
      <c r="AA1297">
        <v>4.37</v>
      </c>
      <c r="AB1297">
        <v>2.38</v>
      </c>
      <c r="AC1297">
        <v>3.75</v>
      </c>
      <c r="AD1297">
        <v>1.1399999999999999</v>
      </c>
      <c r="AE1297">
        <v>2.56</v>
      </c>
      <c r="AF1297">
        <v>2.95</v>
      </c>
      <c r="AG1297" t="str">
        <f>HYPERLINK("https://finance.naver.com/item/fchart.naver?code=044490", "태웅 차트보기")</f>
        <v>태웅 차트보기</v>
      </c>
    </row>
    <row r="1298" spans="1:33" x14ac:dyDescent="0.3">
      <c r="A1298" t="s">
        <v>5219</v>
      </c>
      <c r="B1298" t="s">
        <v>34</v>
      </c>
      <c r="C1298" t="s">
        <v>5220</v>
      </c>
      <c r="D1298">
        <v>442879.05</v>
      </c>
      <c r="E1298" t="s">
        <v>5221</v>
      </c>
      <c r="F1298">
        <v>0</v>
      </c>
      <c r="G1298">
        <v>3.6099998950958252</v>
      </c>
      <c r="H1298">
        <v>0</v>
      </c>
      <c r="I1298">
        <v>0</v>
      </c>
      <c r="J1298" t="s">
        <v>5222</v>
      </c>
      <c r="K1298">
        <v>162500</v>
      </c>
      <c r="L1298">
        <v>118100</v>
      </c>
      <c r="M1298">
        <v>-27.32</v>
      </c>
      <c r="N1298">
        <v>1.9</v>
      </c>
      <c r="O1298">
        <v>3.96</v>
      </c>
      <c r="P1298">
        <v>16.29</v>
      </c>
      <c r="Q1298">
        <v>-19.14</v>
      </c>
      <c r="R1298">
        <v>-19.36</v>
      </c>
      <c r="S1298">
        <v>-10.87</v>
      </c>
      <c r="T1298">
        <v>5.14</v>
      </c>
      <c r="U1298">
        <v>4.67</v>
      </c>
      <c r="V1298">
        <v>4.8</v>
      </c>
      <c r="W1298">
        <v>5.58</v>
      </c>
      <c r="X1298">
        <v>3.48</v>
      </c>
      <c r="Y1298">
        <v>2.65</v>
      </c>
      <c r="Z1298">
        <v>0.37</v>
      </c>
      <c r="AA1298">
        <v>0.85</v>
      </c>
      <c r="AB1298">
        <v>3.39</v>
      </c>
      <c r="AC1298">
        <v>3.43</v>
      </c>
      <c r="AD1298">
        <v>5.56</v>
      </c>
      <c r="AE1298">
        <v>4.0999999999999996</v>
      </c>
      <c r="AF1298">
        <v>2.9500000000000011</v>
      </c>
      <c r="AG1298" t="str">
        <f>HYPERLINK("https://finance.naver.com/item/fchart.naver?code=066970", "엘앤에프 차트보기")</f>
        <v>엘앤에프 차트보기</v>
      </c>
    </row>
    <row r="1299" spans="1:33" x14ac:dyDescent="0.3">
      <c r="A1299" t="s">
        <v>5223</v>
      </c>
      <c r="B1299" t="s">
        <v>55</v>
      </c>
      <c r="C1299" t="s">
        <v>5224</v>
      </c>
      <c r="D1299">
        <v>91453.48</v>
      </c>
      <c r="E1299" t="s">
        <v>5225</v>
      </c>
      <c r="F1299">
        <v>66.89</v>
      </c>
      <c r="G1299">
        <v>0.57999998331069946</v>
      </c>
      <c r="H1299">
        <v>37</v>
      </c>
      <c r="I1299">
        <v>3.2300000190734859</v>
      </c>
      <c r="J1299" t="s">
        <v>5226</v>
      </c>
      <c r="K1299">
        <v>3615</v>
      </c>
      <c r="L1299">
        <v>2475</v>
      </c>
      <c r="M1299">
        <v>-31.54</v>
      </c>
      <c r="N1299">
        <v>-3.88</v>
      </c>
      <c r="O1299">
        <v>2.39</v>
      </c>
      <c r="P1299">
        <v>-2.15</v>
      </c>
      <c r="Q1299">
        <v>-16.72</v>
      </c>
      <c r="R1299">
        <v>-9.7100000000000009</v>
      </c>
      <c r="S1299">
        <v>-7.75</v>
      </c>
      <c r="T1299">
        <v>3.22</v>
      </c>
      <c r="U1299">
        <v>2.15</v>
      </c>
      <c r="V1299">
        <v>2.2000000000000002</v>
      </c>
      <c r="W1299">
        <v>3.53</v>
      </c>
      <c r="X1299">
        <v>1.87</v>
      </c>
      <c r="Y1299">
        <v>1.73</v>
      </c>
      <c r="Z1299">
        <v>1.2</v>
      </c>
      <c r="AA1299">
        <v>1.1100000000000001</v>
      </c>
      <c r="AB1299">
        <v>0.98</v>
      </c>
      <c r="AC1299">
        <v>4.74</v>
      </c>
      <c r="AD1299">
        <v>5.19</v>
      </c>
      <c r="AE1299">
        <v>4.4800000000000004</v>
      </c>
      <c r="AF1299">
        <v>2.9500000000000011</v>
      </c>
      <c r="AG1299" t="str">
        <f>HYPERLINK("https://finance.naver.com/item/fchart.naver?code=075970", "동국알앤에스 차트보기")</f>
        <v>동국알앤에스 차트보기</v>
      </c>
    </row>
    <row r="1300" spans="1:33" x14ac:dyDescent="0.3">
      <c r="A1300" t="s">
        <v>5227</v>
      </c>
      <c r="B1300" t="s">
        <v>55</v>
      </c>
      <c r="C1300" t="s">
        <v>5228</v>
      </c>
      <c r="D1300">
        <v>4489.62</v>
      </c>
      <c r="E1300" t="s">
        <v>5229</v>
      </c>
      <c r="F1300">
        <v>0</v>
      </c>
      <c r="G1300">
        <v>0</v>
      </c>
      <c r="H1300">
        <v>0</v>
      </c>
      <c r="I1300">
        <v>0</v>
      </c>
      <c r="J1300" t="s">
        <v>5230</v>
      </c>
      <c r="K1300">
        <v>2150</v>
      </c>
      <c r="L1300">
        <v>2085</v>
      </c>
      <c r="M1300">
        <v>-3.02</v>
      </c>
      <c r="N1300">
        <v>-1.65</v>
      </c>
      <c r="O1300">
        <v>1.92</v>
      </c>
      <c r="P1300">
        <v>-1.65</v>
      </c>
      <c r="Q1300">
        <v>-1.4</v>
      </c>
      <c r="R1300">
        <v>0.7</v>
      </c>
      <c r="S1300">
        <v>1.63</v>
      </c>
      <c r="T1300">
        <v>0.36</v>
      </c>
      <c r="U1300">
        <v>0.73</v>
      </c>
      <c r="V1300">
        <v>0.46</v>
      </c>
      <c r="W1300">
        <v>0.55000000000000004</v>
      </c>
      <c r="X1300">
        <v>0.63</v>
      </c>
      <c r="Y1300">
        <v>0.5</v>
      </c>
      <c r="Z1300">
        <v>4.58</v>
      </c>
      <c r="AA1300">
        <v>2.63</v>
      </c>
      <c r="AB1300">
        <v>3.59</v>
      </c>
      <c r="AC1300">
        <v>2.5499999999999998</v>
      </c>
      <c r="AD1300">
        <v>1.1100000000000001</v>
      </c>
      <c r="AE1300">
        <v>3.26</v>
      </c>
      <c r="AF1300">
        <v>2.9533333333333331</v>
      </c>
      <c r="AG1300" t="str">
        <f>HYPERLINK("https://finance.naver.com/item/fchart.naver?code=450940", "유안타제14호스팩 차트보기")</f>
        <v>유안타제14호스팩 차트보기</v>
      </c>
    </row>
    <row r="1301" spans="1:33" x14ac:dyDescent="0.3">
      <c r="A1301" t="s">
        <v>5231</v>
      </c>
      <c r="B1301" t="s">
        <v>55</v>
      </c>
      <c r="C1301" t="s">
        <v>5232</v>
      </c>
      <c r="D1301">
        <v>211802.52</v>
      </c>
      <c r="E1301" t="s">
        <v>5233</v>
      </c>
      <c r="F1301">
        <v>68.33</v>
      </c>
      <c r="G1301">
        <v>0.43000000715255737</v>
      </c>
      <c r="H1301">
        <v>36</v>
      </c>
      <c r="I1301">
        <v>0</v>
      </c>
      <c r="J1301" t="s">
        <v>5234</v>
      </c>
      <c r="K1301">
        <v>3550</v>
      </c>
      <c r="L1301">
        <v>2460</v>
      </c>
      <c r="M1301">
        <v>-30.7</v>
      </c>
      <c r="N1301">
        <v>-0.81</v>
      </c>
      <c r="O1301">
        <v>0.79</v>
      </c>
      <c r="P1301">
        <v>4.84</v>
      </c>
      <c r="Q1301">
        <v>-11.33</v>
      </c>
      <c r="R1301">
        <v>-11.58</v>
      </c>
      <c r="S1301">
        <v>-11.11</v>
      </c>
      <c r="T1301">
        <v>2.69</v>
      </c>
      <c r="U1301">
        <v>2.06</v>
      </c>
      <c r="V1301">
        <v>7.9</v>
      </c>
      <c r="W1301">
        <v>4.2</v>
      </c>
      <c r="X1301">
        <v>2.04</v>
      </c>
      <c r="Y1301">
        <v>1.38</v>
      </c>
      <c r="Z1301">
        <v>0.3</v>
      </c>
      <c r="AA1301">
        <v>0.38</v>
      </c>
      <c r="AB1301">
        <v>0.61</v>
      </c>
      <c r="AC1301">
        <v>2.7</v>
      </c>
      <c r="AD1301">
        <v>5.68</v>
      </c>
      <c r="AE1301">
        <v>8.0500000000000007</v>
      </c>
      <c r="AF1301">
        <v>2.9533333333333331</v>
      </c>
      <c r="AG1301" t="str">
        <f>HYPERLINK("https://finance.naver.com/item/fchart.naver?code=054920", "한컴위드 차트보기")</f>
        <v>한컴위드 차트보기</v>
      </c>
    </row>
    <row r="1302" spans="1:33" x14ac:dyDescent="0.3">
      <c r="A1302" t="s">
        <v>5235</v>
      </c>
      <c r="B1302" t="s">
        <v>55</v>
      </c>
      <c r="C1302" t="s">
        <v>5236</v>
      </c>
      <c r="D1302">
        <v>551405.48</v>
      </c>
      <c r="E1302" t="s">
        <v>5237</v>
      </c>
      <c r="F1302">
        <v>17.95</v>
      </c>
      <c r="G1302">
        <v>1.6499999761581421</v>
      </c>
      <c r="H1302">
        <v>215</v>
      </c>
      <c r="I1302">
        <v>0</v>
      </c>
      <c r="J1302" t="s">
        <v>5238</v>
      </c>
      <c r="K1302">
        <v>4945</v>
      </c>
      <c r="L1302">
        <v>3860</v>
      </c>
      <c r="M1302">
        <v>-21.94</v>
      </c>
      <c r="N1302">
        <v>-7.21</v>
      </c>
      <c r="O1302">
        <v>-11.81</v>
      </c>
      <c r="P1302">
        <v>3.73</v>
      </c>
      <c r="Q1302">
        <v>-8.85</v>
      </c>
      <c r="R1302">
        <v>26.49</v>
      </c>
      <c r="S1302">
        <v>-5.55</v>
      </c>
      <c r="T1302">
        <v>3.9</v>
      </c>
      <c r="U1302">
        <v>2.0299999999999998</v>
      </c>
      <c r="V1302">
        <v>7.71</v>
      </c>
      <c r="W1302">
        <v>5.82</v>
      </c>
      <c r="X1302">
        <v>4.7300000000000004</v>
      </c>
      <c r="Y1302">
        <v>2.2599999999999998</v>
      </c>
      <c r="Z1302">
        <v>1.85</v>
      </c>
      <c r="AA1302">
        <v>5.82</v>
      </c>
      <c r="AB1302">
        <v>0.48</v>
      </c>
      <c r="AC1302">
        <v>1.52</v>
      </c>
      <c r="AD1302">
        <v>5.6</v>
      </c>
      <c r="AE1302">
        <v>2.46</v>
      </c>
      <c r="AF1302">
        <v>2.9550000000000001</v>
      </c>
      <c r="AG1302" t="str">
        <f>HYPERLINK("https://finance.naver.com/item/fchart.naver?code=208370", "셀바스헬스케어 차트보기")</f>
        <v>셀바스헬스케어 차트보기</v>
      </c>
    </row>
    <row r="1303" spans="1:33" x14ac:dyDescent="0.3">
      <c r="A1303" t="s">
        <v>5239</v>
      </c>
      <c r="B1303" t="s">
        <v>34</v>
      </c>
      <c r="C1303" t="s">
        <v>5240</v>
      </c>
      <c r="D1303">
        <v>193180.05</v>
      </c>
      <c r="E1303" t="s">
        <v>5241</v>
      </c>
      <c r="F1303">
        <v>5.0999999999999996</v>
      </c>
      <c r="G1303">
        <v>1.299999952316284</v>
      </c>
      <c r="H1303">
        <v>2063</v>
      </c>
      <c r="I1303">
        <v>0.94999998807907104</v>
      </c>
      <c r="J1303" t="s">
        <v>5242</v>
      </c>
      <c r="K1303">
        <v>16850</v>
      </c>
      <c r="L1303">
        <v>10520</v>
      </c>
      <c r="M1303">
        <v>-37.57</v>
      </c>
      <c r="N1303">
        <v>-13.49</v>
      </c>
      <c r="O1303">
        <v>2.11</v>
      </c>
      <c r="P1303">
        <v>-6.02</v>
      </c>
      <c r="Q1303">
        <v>-16.690000000000001</v>
      </c>
      <c r="R1303">
        <v>-34.06</v>
      </c>
      <c r="S1303">
        <v>3.58</v>
      </c>
      <c r="T1303">
        <v>2.4700000000000002</v>
      </c>
      <c r="U1303">
        <v>2.86</v>
      </c>
      <c r="V1303">
        <v>3.06</v>
      </c>
      <c r="W1303">
        <v>4.68</v>
      </c>
      <c r="X1303">
        <v>6.89</v>
      </c>
      <c r="Y1303">
        <v>3.35</v>
      </c>
      <c r="Z1303">
        <v>5.46</v>
      </c>
      <c r="AA1303">
        <v>0.74</v>
      </c>
      <c r="AB1303">
        <v>1.97</v>
      </c>
      <c r="AC1303">
        <v>3.57</v>
      </c>
      <c r="AD1303">
        <v>4.9400000000000004</v>
      </c>
      <c r="AE1303">
        <v>1.07</v>
      </c>
      <c r="AF1303">
        <v>2.958333333333333</v>
      </c>
      <c r="AG1303" t="str">
        <f>HYPERLINK("https://finance.naver.com/item/fchart.naver?code=336370", "솔루스첨단소재 차트보기")</f>
        <v>솔루스첨단소재 차트보기</v>
      </c>
    </row>
    <row r="1304" spans="1:33" x14ac:dyDescent="0.3">
      <c r="A1304" t="s">
        <v>5243</v>
      </c>
      <c r="B1304" t="s">
        <v>55</v>
      </c>
      <c r="C1304" t="s">
        <v>5244</v>
      </c>
      <c r="D1304">
        <v>80425.81</v>
      </c>
      <c r="E1304" t="s">
        <v>5245</v>
      </c>
      <c r="F1304">
        <v>35.72</v>
      </c>
      <c r="G1304">
        <v>0.69999998807907104</v>
      </c>
      <c r="H1304">
        <v>125</v>
      </c>
      <c r="I1304">
        <v>0</v>
      </c>
      <c r="J1304" t="s">
        <v>5246</v>
      </c>
      <c r="K1304">
        <v>8220</v>
      </c>
      <c r="L1304">
        <v>4465</v>
      </c>
      <c r="M1304">
        <v>-45.68</v>
      </c>
      <c r="N1304">
        <v>-2.2999999999999998</v>
      </c>
      <c r="O1304">
        <v>-6.84</v>
      </c>
      <c r="P1304">
        <v>-7.39</v>
      </c>
      <c r="Q1304">
        <v>-9.08</v>
      </c>
      <c r="R1304">
        <v>-12.41</v>
      </c>
      <c r="S1304">
        <v>-7.05</v>
      </c>
      <c r="T1304">
        <v>1.91</v>
      </c>
      <c r="U1304">
        <v>1.98</v>
      </c>
      <c r="V1304">
        <v>2.62</v>
      </c>
      <c r="W1304">
        <v>4.8499999999999996</v>
      </c>
      <c r="X1304">
        <v>2.34</v>
      </c>
      <c r="Y1304">
        <v>2.27</v>
      </c>
      <c r="Z1304">
        <v>1.2</v>
      </c>
      <c r="AA1304">
        <v>3.45</v>
      </c>
      <c r="AB1304">
        <v>2.82</v>
      </c>
      <c r="AC1304">
        <v>1.87</v>
      </c>
      <c r="AD1304">
        <v>5.3</v>
      </c>
      <c r="AE1304">
        <v>3.11</v>
      </c>
      <c r="AF1304">
        <v>2.958333333333333</v>
      </c>
      <c r="AG1304" t="str">
        <f>HYPERLINK("https://finance.naver.com/item/fchart.naver?code=077360", "덕산하이메탈 차트보기")</f>
        <v>덕산하이메탈 차트보기</v>
      </c>
    </row>
    <row r="1305" spans="1:33" x14ac:dyDescent="0.3">
      <c r="A1305" t="s">
        <v>5247</v>
      </c>
      <c r="B1305" t="s">
        <v>34</v>
      </c>
      <c r="C1305" t="s">
        <v>5248</v>
      </c>
      <c r="D1305">
        <v>4817.5200000000004</v>
      </c>
      <c r="E1305" t="s">
        <v>5249</v>
      </c>
      <c r="F1305">
        <v>0</v>
      </c>
      <c r="G1305">
        <v>0</v>
      </c>
      <c r="H1305">
        <v>0</v>
      </c>
      <c r="I1305">
        <v>1.720000028610229</v>
      </c>
      <c r="J1305" t="s">
        <v>5250</v>
      </c>
      <c r="K1305">
        <v>6890</v>
      </c>
      <c r="L1305">
        <v>5830</v>
      </c>
      <c r="M1305">
        <v>-15.38</v>
      </c>
      <c r="N1305">
        <v>-4.2699999999999996</v>
      </c>
      <c r="O1305">
        <v>3.75</v>
      </c>
      <c r="P1305">
        <v>-1.83</v>
      </c>
      <c r="Q1305">
        <v>-6.06</v>
      </c>
      <c r="R1305">
        <v>-19.690000000000001</v>
      </c>
      <c r="S1305">
        <v>-1.1599999999999999</v>
      </c>
      <c r="T1305">
        <v>0.77</v>
      </c>
      <c r="U1305">
        <v>1.05</v>
      </c>
      <c r="V1305">
        <v>1.72</v>
      </c>
      <c r="W1305">
        <v>3.62</v>
      </c>
      <c r="X1305">
        <v>3.85</v>
      </c>
      <c r="Y1305">
        <v>1.44</v>
      </c>
      <c r="Z1305">
        <v>5.55</v>
      </c>
      <c r="AA1305">
        <v>3.57</v>
      </c>
      <c r="AB1305">
        <v>1.06</v>
      </c>
      <c r="AC1305">
        <v>1.67</v>
      </c>
      <c r="AD1305">
        <v>5.1100000000000003</v>
      </c>
      <c r="AE1305">
        <v>0.81</v>
      </c>
      <c r="AF1305">
        <v>2.961666666666666</v>
      </c>
      <c r="AG1305" t="str">
        <f>HYPERLINK("https://finance.naver.com/item/fchart.naver?code=33637L", "솔루스첨단소재2우B 차트보기")</f>
        <v>솔루스첨단소재2우B 차트보기</v>
      </c>
    </row>
    <row r="1306" spans="1:33" x14ac:dyDescent="0.3">
      <c r="A1306" t="s">
        <v>5251</v>
      </c>
      <c r="B1306" t="s">
        <v>34</v>
      </c>
      <c r="C1306" t="s">
        <v>5252</v>
      </c>
      <c r="D1306">
        <v>959912.33</v>
      </c>
      <c r="E1306" t="s">
        <v>5253</v>
      </c>
      <c r="F1306">
        <v>9.4499999999999993</v>
      </c>
      <c r="G1306">
        <v>0.50999999046325684</v>
      </c>
      <c r="H1306">
        <v>1667</v>
      </c>
      <c r="I1306">
        <v>4.440000057220459</v>
      </c>
      <c r="J1306" t="s">
        <v>5254</v>
      </c>
      <c r="K1306">
        <v>16520</v>
      </c>
      <c r="L1306">
        <v>15750</v>
      </c>
      <c r="M1306">
        <v>-4.66</v>
      </c>
      <c r="N1306">
        <v>-7.73</v>
      </c>
      <c r="O1306">
        <v>-4.84</v>
      </c>
      <c r="P1306">
        <v>10.89</v>
      </c>
      <c r="Q1306">
        <v>-7.22</v>
      </c>
      <c r="R1306">
        <v>-7.57</v>
      </c>
      <c r="S1306">
        <v>2.61</v>
      </c>
      <c r="T1306">
        <v>3.85</v>
      </c>
      <c r="U1306">
        <v>1.77</v>
      </c>
      <c r="V1306">
        <v>1.84</v>
      </c>
      <c r="W1306">
        <v>2.85</v>
      </c>
      <c r="X1306">
        <v>2.0099999999999998</v>
      </c>
      <c r="Y1306">
        <v>3.21</v>
      </c>
      <c r="Z1306">
        <v>2.0099999999999998</v>
      </c>
      <c r="AA1306">
        <v>2.73</v>
      </c>
      <c r="AB1306">
        <v>5.92</v>
      </c>
      <c r="AC1306">
        <v>2.5299999999999998</v>
      </c>
      <c r="AD1306">
        <v>3.77</v>
      </c>
      <c r="AE1306">
        <v>0.81</v>
      </c>
      <c r="AF1306">
        <v>2.961666666666666</v>
      </c>
      <c r="AG1306" t="str">
        <f>HYPERLINK("https://finance.naver.com/item/fchart.naver?code=011200", "HMM 차트보기")</f>
        <v>HMM 차트보기</v>
      </c>
    </row>
    <row r="1307" spans="1:33" x14ac:dyDescent="0.3">
      <c r="A1307" t="s">
        <v>5255</v>
      </c>
      <c r="B1307" t="s">
        <v>55</v>
      </c>
      <c r="C1307" t="s">
        <v>5256</v>
      </c>
      <c r="D1307">
        <v>35146.519999999997</v>
      </c>
      <c r="E1307" t="s">
        <v>5257</v>
      </c>
      <c r="F1307">
        <v>0</v>
      </c>
      <c r="G1307">
        <v>0.56000000238418579</v>
      </c>
      <c r="H1307">
        <v>0</v>
      </c>
      <c r="I1307">
        <v>0</v>
      </c>
      <c r="J1307" t="s">
        <v>5258</v>
      </c>
      <c r="K1307">
        <v>836</v>
      </c>
      <c r="L1307">
        <v>710</v>
      </c>
      <c r="M1307">
        <v>-15.07</v>
      </c>
      <c r="N1307">
        <v>3.95</v>
      </c>
      <c r="O1307">
        <v>-12.02</v>
      </c>
      <c r="P1307">
        <v>-6.24</v>
      </c>
      <c r="Q1307">
        <v>-6.24</v>
      </c>
      <c r="R1307">
        <v>11.31</v>
      </c>
      <c r="S1307">
        <v>-0.89</v>
      </c>
      <c r="T1307">
        <v>1.62</v>
      </c>
      <c r="U1307">
        <v>1.75</v>
      </c>
      <c r="V1307">
        <v>2.2599999999999998</v>
      </c>
      <c r="W1307">
        <v>3.66</v>
      </c>
      <c r="X1307">
        <v>3.39</v>
      </c>
      <c r="Y1307">
        <v>1.34</v>
      </c>
      <c r="Z1307">
        <v>2.44</v>
      </c>
      <c r="AA1307">
        <v>6.87</v>
      </c>
      <c r="AB1307">
        <v>2.76</v>
      </c>
      <c r="AC1307">
        <v>1.7</v>
      </c>
      <c r="AD1307">
        <v>3.34</v>
      </c>
      <c r="AE1307">
        <v>0.66</v>
      </c>
      <c r="AF1307">
        <v>2.961666666666666</v>
      </c>
      <c r="AG1307" t="str">
        <f>HYPERLINK("https://finance.naver.com/item/fchart.naver?code=225430", "케이엠제약 차트보기")</f>
        <v>케이엠제약 차트보기</v>
      </c>
    </row>
    <row r="1308" spans="1:33" x14ac:dyDescent="0.3">
      <c r="A1308" t="s">
        <v>5259</v>
      </c>
      <c r="B1308" t="s">
        <v>55</v>
      </c>
      <c r="C1308" t="s">
        <v>5260</v>
      </c>
      <c r="D1308">
        <v>350670.29</v>
      </c>
      <c r="E1308" t="s">
        <v>5261</v>
      </c>
      <c r="F1308">
        <v>0</v>
      </c>
      <c r="G1308">
        <v>1.320000052452087</v>
      </c>
      <c r="H1308">
        <v>0</v>
      </c>
      <c r="I1308">
        <v>0</v>
      </c>
      <c r="J1308" t="s">
        <v>5262</v>
      </c>
      <c r="K1308">
        <v>1626</v>
      </c>
      <c r="L1308">
        <v>1952</v>
      </c>
      <c r="M1308">
        <v>20.05</v>
      </c>
      <c r="N1308">
        <v>-1.91</v>
      </c>
      <c r="O1308">
        <v>-7.92</v>
      </c>
      <c r="P1308">
        <v>-11.22</v>
      </c>
      <c r="Q1308">
        <v>74.739999999999995</v>
      </c>
      <c r="R1308">
        <v>23.75</v>
      </c>
      <c r="S1308">
        <v>-8.23</v>
      </c>
      <c r="T1308">
        <v>2.62</v>
      </c>
      <c r="U1308">
        <v>3.3</v>
      </c>
      <c r="V1308">
        <v>11.69</v>
      </c>
      <c r="W1308">
        <v>12.53</v>
      </c>
      <c r="X1308">
        <v>4.75</v>
      </c>
      <c r="Y1308">
        <v>3.01</v>
      </c>
      <c r="Z1308">
        <v>0.73</v>
      </c>
      <c r="AA1308">
        <v>2.4</v>
      </c>
      <c r="AB1308">
        <v>0.96</v>
      </c>
      <c r="AC1308">
        <v>5.96</v>
      </c>
      <c r="AD1308">
        <v>5</v>
      </c>
      <c r="AE1308">
        <v>2.73</v>
      </c>
      <c r="AF1308">
        <v>2.9633333333333329</v>
      </c>
      <c r="AG1308" t="str">
        <f>HYPERLINK("https://finance.naver.com/item/fchart.naver?code=215380", "우정바이오 차트보기")</f>
        <v>우정바이오 차트보기</v>
      </c>
    </row>
    <row r="1309" spans="1:33" x14ac:dyDescent="0.3">
      <c r="A1309" t="s">
        <v>5263</v>
      </c>
      <c r="B1309" t="s">
        <v>55</v>
      </c>
      <c r="C1309" t="s">
        <v>5264</v>
      </c>
      <c r="D1309">
        <v>320868.05</v>
      </c>
      <c r="E1309" t="s">
        <v>5265</v>
      </c>
      <c r="F1309">
        <v>10.07</v>
      </c>
      <c r="G1309">
        <v>0.75999999046325684</v>
      </c>
      <c r="H1309">
        <v>410</v>
      </c>
      <c r="I1309">
        <v>0</v>
      </c>
      <c r="J1309" t="s">
        <v>5266</v>
      </c>
      <c r="K1309">
        <v>5230</v>
      </c>
      <c r="L1309">
        <v>4130</v>
      </c>
      <c r="M1309">
        <v>-21.03</v>
      </c>
      <c r="N1309">
        <v>-5.49</v>
      </c>
      <c r="O1309">
        <v>5.0199999999999996</v>
      </c>
      <c r="P1309">
        <v>0.93</v>
      </c>
      <c r="Q1309">
        <v>-5</v>
      </c>
      <c r="R1309">
        <v>-12.19</v>
      </c>
      <c r="S1309">
        <v>-16.16</v>
      </c>
      <c r="T1309">
        <v>2.15</v>
      </c>
      <c r="U1309">
        <v>1.49</v>
      </c>
      <c r="V1309">
        <v>2.12</v>
      </c>
      <c r="W1309">
        <v>5.84</v>
      </c>
      <c r="X1309">
        <v>2.04</v>
      </c>
      <c r="Y1309">
        <v>3.52</v>
      </c>
      <c r="Z1309">
        <v>2.5499999999999998</v>
      </c>
      <c r="AA1309">
        <v>3.37</v>
      </c>
      <c r="AB1309">
        <v>0.44</v>
      </c>
      <c r="AC1309">
        <v>0.86</v>
      </c>
      <c r="AD1309">
        <v>5.98</v>
      </c>
      <c r="AE1309">
        <v>4.59</v>
      </c>
      <c r="AF1309">
        <v>2.9649999999999999</v>
      </c>
      <c r="AG1309" t="str">
        <f>HYPERLINK("https://finance.naver.com/item/fchart.naver?code=013990", "아가방컴퍼니 차트보기")</f>
        <v>아가방컴퍼니 차트보기</v>
      </c>
    </row>
    <row r="1310" spans="1:33" x14ac:dyDescent="0.3">
      <c r="A1310" t="s">
        <v>5267</v>
      </c>
      <c r="B1310" t="s">
        <v>55</v>
      </c>
      <c r="C1310" t="s">
        <v>5268</v>
      </c>
      <c r="D1310">
        <v>80940.67</v>
      </c>
      <c r="E1310" t="s">
        <v>5269</v>
      </c>
      <c r="F1310">
        <v>0</v>
      </c>
      <c r="G1310">
        <v>0.73000001907348633</v>
      </c>
      <c r="H1310">
        <v>0</v>
      </c>
      <c r="I1310">
        <v>0</v>
      </c>
      <c r="J1310" t="s">
        <v>5270</v>
      </c>
      <c r="K1310">
        <v>2500</v>
      </c>
      <c r="L1310">
        <v>2050</v>
      </c>
      <c r="M1310">
        <v>-18</v>
      </c>
      <c r="N1310">
        <v>-5.09</v>
      </c>
      <c r="O1310">
        <v>-3.66</v>
      </c>
      <c r="P1310">
        <v>2.2999999999999998</v>
      </c>
      <c r="Q1310">
        <v>1.17</v>
      </c>
      <c r="R1310">
        <v>-8.15</v>
      </c>
      <c r="S1310">
        <v>-12.52</v>
      </c>
      <c r="T1310">
        <v>2.1</v>
      </c>
      <c r="U1310">
        <v>1.43</v>
      </c>
      <c r="V1310">
        <v>1.96</v>
      </c>
      <c r="W1310">
        <v>5.72</v>
      </c>
      <c r="X1310">
        <v>2.0699999999999998</v>
      </c>
      <c r="Y1310">
        <v>1.67</v>
      </c>
      <c r="Z1310">
        <v>2.42</v>
      </c>
      <c r="AA1310">
        <v>2.56</v>
      </c>
      <c r="AB1310">
        <v>1.17</v>
      </c>
      <c r="AC1310">
        <v>0.2</v>
      </c>
      <c r="AD1310">
        <v>3.94</v>
      </c>
      <c r="AE1310">
        <v>7.5</v>
      </c>
      <c r="AF1310">
        <v>2.9649999999999999</v>
      </c>
      <c r="AG1310" t="str">
        <f>HYPERLINK("https://finance.naver.com/item/fchart.naver?code=133750", "메가엠디 차트보기")</f>
        <v>메가엠디 차트보기</v>
      </c>
    </row>
    <row r="1311" spans="1:33" x14ac:dyDescent="0.3">
      <c r="A1311" t="s">
        <v>5271</v>
      </c>
      <c r="B1311" t="s">
        <v>55</v>
      </c>
      <c r="C1311" t="s">
        <v>5272</v>
      </c>
      <c r="D1311">
        <v>83520.33</v>
      </c>
      <c r="E1311" t="s">
        <v>5273</v>
      </c>
      <c r="F1311">
        <v>113.45</v>
      </c>
      <c r="G1311">
        <v>0.99000000953674316</v>
      </c>
      <c r="H1311">
        <v>58</v>
      </c>
      <c r="I1311">
        <v>0</v>
      </c>
      <c r="J1311" t="s">
        <v>5274</v>
      </c>
      <c r="K1311">
        <v>11560</v>
      </c>
      <c r="L1311">
        <v>6580</v>
      </c>
      <c r="M1311">
        <v>-43.08</v>
      </c>
      <c r="N1311">
        <v>-9.99</v>
      </c>
      <c r="O1311">
        <v>-10.17</v>
      </c>
      <c r="P1311">
        <v>-1.42</v>
      </c>
      <c r="Q1311">
        <v>-7.17</v>
      </c>
      <c r="R1311">
        <v>-25.24</v>
      </c>
      <c r="S1311">
        <v>-0.19</v>
      </c>
      <c r="T1311">
        <v>4.33</v>
      </c>
      <c r="U1311">
        <v>2.78</v>
      </c>
      <c r="V1311">
        <v>3.09</v>
      </c>
      <c r="W1311">
        <v>6.56</v>
      </c>
      <c r="X1311">
        <v>2.4700000000000002</v>
      </c>
      <c r="Y1311">
        <v>3.86</v>
      </c>
      <c r="Z1311">
        <v>2.31</v>
      </c>
      <c r="AA1311">
        <v>3.66</v>
      </c>
      <c r="AB1311">
        <v>0.46</v>
      </c>
      <c r="AC1311">
        <v>1.0900000000000001</v>
      </c>
      <c r="AD1311">
        <v>10.220000000000001</v>
      </c>
      <c r="AE1311">
        <v>0.05</v>
      </c>
      <c r="AF1311">
        <v>2.9649999999999999</v>
      </c>
      <c r="AG1311" t="str">
        <f>HYPERLINK("https://finance.naver.com/item/fchart.naver?code=079810", "디이엔티 차트보기")</f>
        <v>디이엔티 차트보기</v>
      </c>
    </row>
    <row r="1312" spans="1:33" x14ac:dyDescent="0.3">
      <c r="A1312" t="s">
        <v>5275</v>
      </c>
      <c r="B1312" t="s">
        <v>55</v>
      </c>
      <c r="C1312" t="s">
        <v>5276</v>
      </c>
      <c r="D1312">
        <v>118369.62</v>
      </c>
      <c r="E1312" t="s">
        <v>5277</v>
      </c>
      <c r="F1312">
        <v>0</v>
      </c>
      <c r="G1312">
        <v>0.68999999761581421</v>
      </c>
      <c r="H1312">
        <v>0</v>
      </c>
      <c r="I1312">
        <v>0</v>
      </c>
      <c r="J1312" t="s">
        <v>5278</v>
      </c>
      <c r="K1312">
        <v>492</v>
      </c>
      <c r="L1312">
        <v>308</v>
      </c>
      <c r="M1312">
        <v>-37.4</v>
      </c>
      <c r="N1312">
        <v>-1.6</v>
      </c>
      <c r="O1312">
        <v>-3.37</v>
      </c>
      <c r="P1312">
        <v>-7.97</v>
      </c>
      <c r="Q1312">
        <v>-9.02</v>
      </c>
      <c r="R1312">
        <v>-4.34</v>
      </c>
      <c r="S1312">
        <v>0</v>
      </c>
      <c r="T1312">
        <v>1.34</v>
      </c>
      <c r="U1312">
        <v>1.07</v>
      </c>
      <c r="V1312">
        <v>2.42</v>
      </c>
      <c r="W1312">
        <v>1.36</v>
      </c>
      <c r="X1312">
        <v>1.22</v>
      </c>
      <c r="Y1312">
        <v>1.04</v>
      </c>
      <c r="Z1312">
        <v>1.19</v>
      </c>
      <c r="AA1312">
        <v>3.15</v>
      </c>
      <c r="AB1312">
        <v>3.29</v>
      </c>
      <c r="AC1312">
        <v>6.63</v>
      </c>
      <c r="AD1312">
        <v>3.56</v>
      </c>
      <c r="AE1312">
        <v>0</v>
      </c>
      <c r="AF1312">
        <v>2.97</v>
      </c>
      <c r="AG1312" t="str">
        <f>HYPERLINK("https://finance.naver.com/item/fchart.naver?code=065060", "지엔코 차트보기")</f>
        <v>지엔코 차트보기</v>
      </c>
    </row>
    <row r="1313" spans="1:33" x14ac:dyDescent="0.3">
      <c r="A1313" t="s">
        <v>5279</v>
      </c>
      <c r="B1313" t="s">
        <v>34</v>
      </c>
      <c r="C1313" t="s">
        <v>5280</v>
      </c>
      <c r="D1313">
        <v>9814.67</v>
      </c>
      <c r="E1313" t="s">
        <v>5281</v>
      </c>
      <c r="F1313">
        <v>3.8</v>
      </c>
      <c r="G1313">
        <v>0.25</v>
      </c>
      <c r="H1313">
        <v>11898</v>
      </c>
      <c r="I1313">
        <v>6.190000057220459</v>
      </c>
      <c r="J1313" t="s">
        <v>5282</v>
      </c>
      <c r="K1313">
        <v>52900</v>
      </c>
      <c r="L1313">
        <v>45250</v>
      </c>
      <c r="M1313">
        <v>-14.46</v>
      </c>
      <c r="N1313">
        <v>-4.54</v>
      </c>
      <c r="O1313">
        <v>2.8</v>
      </c>
      <c r="P1313">
        <v>-2.5099999999999998</v>
      </c>
      <c r="Q1313">
        <v>-2.84</v>
      </c>
      <c r="R1313">
        <v>-4.5</v>
      </c>
      <c r="S1313">
        <v>-2.48</v>
      </c>
      <c r="T1313">
        <v>0.86</v>
      </c>
      <c r="U1313">
        <v>0.89</v>
      </c>
      <c r="V1313">
        <v>1.18</v>
      </c>
      <c r="W1313">
        <v>1.49</v>
      </c>
      <c r="X1313">
        <v>1.34</v>
      </c>
      <c r="Y1313">
        <v>1.24</v>
      </c>
      <c r="Z1313">
        <v>5.28</v>
      </c>
      <c r="AA1313">
        <v>3.15</v>
      </c>
      <c r="AB1313">
        <v>2.13</v>
      </c>
      <c r="AC1313">
        <v>1.91</v>
      </c>
      <c r="AD1313">
        <v>3.36</v>
      </c>
      <c r="AE1313">
        <v>2</v>
      </c>
      <c r="AF1313">
        <v>2.9716666666666658</v>
      </c>
      <c r="AG1313" t="str">
        <f>HYPERLINK("https://finance.naver.com/item/fchart.naver?code=057050", "현대홈쇼핑 차트보기")</f>
        <v>현대홈쇼핑 차트보기</v>
      </c>
    </row>
    <row r="1314" spans="1:33" x14ac:dyDescent="0.3">
      <c r="A1314" t="s">
        <v>5283</v>
      </c>
      <c r="B1314" t="s">
        <v>55</v>
      </c>
      <c r="C1314" t="s">
        <v>5284</v>
      </c>
      <c r="D1314">
        <v>1992365.29</v>
      </c>
      <c r="E1314" t="s">
        <v>5285</v>
      </c>
      <c r="F1314">
        <v>4.68</v>
      </c>
      <c r="G1314">
        <v>0.63999998569488525</v>
      </c>
      <c r="H1314">
        <v>124</v>
      </c>
      <c r="I1314">
        <v>0</v>
      </c>
      <c r="J1314" t="s">
        <v>5286</v>
      </c>
      <c r="K1314">
        <v>871</v>
      </c>
      <c r="L1314">
        <v>580</v>
      </c>
      <c r="M1314">
        <v>-33.409999999999997</v>
      </c>
      <c r="N1314">
        <v>-5.54</v>
      </c>
      <c r="O1314">
        <v>4.82</v>
      </c>
      <c r="P1314">
        <v>-11.9</v>
      </c>
      <c r="Q1314">
        <v>-6.04</v>
      </c>
      <c r="R1314">
        <v>-2.4700000000000002</v>
      </c>
      <c r="S1314">
        <v>-5.46</v>
      </c>
      <c r="T1314">
        <v>1.26</v>
      </c>
      <c r="U1314">
        <v>3.04</v>
      </c>
      <c r="V1314">
        <v>2.0299999999999998</v>
      </c>
      <c r="W1314">
        <v>1.99</v>
      </c>
      <c r="X1314">
        <v>1.89</v>
      </c>
      <c r="Y1314">
        <v>3.34</v>
      </c>
      <c r="Z1314">
        <v>4.4000000000000004</v>
      </c>
      <c r="AA1314">
        <v>1.59</v>
      </c>
      <c r="AB1314">
        <v>5.86</v>
      </c>
      <c r="AC1314">
        <v>3.04</v>
      </c>
      <c r="AD1314">
        <v>1.31</v>
      </c>
      <c r="AE1314">
        <v>1.63</v>
      </c>
      <c r="AF1314">
        <v>2.9716666666666658</v>
      </c>
      <c r="AG1314" t="str">
        <f>HYPERLINK("https://finance.naver.com/item/fchart.naver?code=200230", "텔콘RF제약 차트보기")</f>
        <v>텔콘RF제약 차트보기</v>
      </c>
    </row>
    <row r="1315" spans="1:33" x14ac:dyDescent="0.3">
      <c r="A1315" t="s">
        <v>5287</v>
      </c>
      <c r="B1315" t="s">
        <v>34</v>
      </c>
      <c r="C1315" t="s">
        <v>5288</v>
      </c>
      <c r="D1315">
        <v>1362886.71</v>
      </c>
      <c r="E1315" t="s">
        <v>5289</v>
      </c>
      <c r="F1315">
        <v>7.69</v>
      </c>
      <c r="G1315">
        <v>0.40000000596046448</v>
      </c>
      <c r="H1315">
        <v>458</v>
      </c>
      <c r="I1315">
        <v>2.410000085830688</v>
      </c>
      <c r="J1315" t="s">
        <v>5290</v>
      </c>
      <c r="K1315">
        <v>4440</v>
      </c>
      <c r="L1315">
        <v>3520</v>
      </c>
      <c r="M1315">
        <v>-20.72</v>
      </c>
      <c r="N1315">
        <v>-1.1200000000000001</v>
      </c>
      <c r="O1315">
        <v>-8.3800000000000008</v>
      </c>
      <c r="P1315">
        <v>11.75</v>
      </c>
      <c r="Q1315">
        <v>-6.44</v>
      </c>
      <c r="R1315">
        <v>-8.18</v>
      </c>
      <c r="S1315">
        <v>-3.92</v>
      </c>
      <c r="T1315">
        <v>1.8</v>
      </c>
      <c r="U1315">
        <v>1.78</v>
      </c>
      <c r="V1315">
        <v>2.86</v>
      </c>
      <c r="W1315">
        <v>3.12</v>
      </c>
      <c r="X1315">
        <v>1.75</v>
      </c>
      <c r="Y1315">
        <v>2.36</v>
      </c>
      <c r="Z1315">
        <v>0.62</v>
      </c>
      <c r="AA1315">
        <v>4.71</v>
      </c>
      <c r="AB1315">
        <v>4.1100000000000003</v>
      </c>
      <c r="AC1315">
        <v>2.06</v>
      </c>
      <c r="AD1315">
        <v>4.67</v>
      </c>
      <c r="AE1315">
        <v>1.66</v>
      </c>
      <c r="AF1315">
        <v>2.9716666666666671</v>
      </c>
      <c r="AG1315" t="str">
        <f>HYPERLINK("https://finance.naver.com/item/fchart.naver?code=028670", "팬오션 차트보기")</f>
        <v>팬오션 차트보기</v>
      </c>
    </row>
    <row r="1316" spans="1:33" x14ac:dyDescent="0.3">
      <c r="A1316" t="s">
        <v>5291</v>
      </c>
      <c r="B1316" t="s">
        <v>34</v>
      </c>
      <c r="C1316" t="s">
        <v>5292</v>
      </c>
      <c r="D1316">
        <v>5865.86</v>
      </c>
      <c r="E1316" t="s">
        <v>5293</v>
      </c>
      <c r="F1316">
        <v>0</v>
      </c>
      <c r="G1316">
        <v>0</v>
      </c>
      <c r="H1316">
        <v>0</v>
      </c>
      <c r="I1316">
        <v>2.339999914169312</v>
      </c>
      <c r="J1316" t="s">
        <v>5294</v>
      </c>
      <c r="K1316">
        <v>15370</v>
      </c>
      <c r="L1316">
        <v>13020</v>
      </c>
      <c r="M1316">
        <v>-15.29</v>
      </c>
      <c r="N1316">
        <v>0.77</v>
      </c>
      <c r="O1316">
        <v>0.31</v>
      </c>
      <c r="P1316">
        <v>-3.82</v>
      </c>
      <c r="Q1316">
        <v>-8.7200000000000006</v>
      </c>
      <c r="R1316">
        <v>-2.42</v>
      </c>
      <c r="S1316">
        <v>5.26</v>
      </c>
      <c r="T1316">
        <v>1.04</v>
      </c>
      <c r="U1316">
        <v>0.44</v>
      </c>
      <c r="V1316">
        <v>0.93</v>
      </c>
      <c r="W1316">
        <v>1.84</v>
      </c>
      <c r="X1316">
        <v>0.97</v>
      </c>
      <c r="Y1316">
        <v>1.04</v>
      </c>
      <c r="Z1316">
        <v>0.74</v>
      </c>
      <c r="AA1316">
        <v>0.7</v>
      </c>
      <c r="AB1316">
        <v>4.1100000000000003</v>
      </c>
      <c r="AC1316">
        <v>4.74</v>
      </c>
      <c r="AD1316">
        <v>2.4900000000000002</v>
      </c>
      <c r="AE1316">
        <v>5.0599999999999996</v>
      </c>
      <c r="AF1316">
        <v>2.9733333333333332</v>
      </c>
      <c r="AG1316" t="str">
        <f>HYPERLINK("https://finance.naver.com/item/fchart.naver?code=001465", "BYC우 차트보기")</f>
        <v>BYC우 차트보기</v>
      </c>
    </row>
    <row r="1317" spans="1:33" x14ac:dyDescent="0.3">
      <c r="A1317" t="s">
        <v>5295</v>
      </c>
      <c r="B1317" t="s">
        <v>34</v>
      </c>
      <c r="C1317" t="s">
        <v>5296</v>
      </c>
      <c r="D1317">
        <v>5039.24</v>
      </c>
      <c r="E1317" t="s">
        <v>5297</v>
      </c>
      <c r="F1317">
        <v>7.79</v>
      </c>
      <c r="G1317">
        <v>0.93000000715255737</v>
      </c>
      <c r="H1317">
        <v>6197</v>
      </c>
      <c r="I1317">
        <v>3.5199999809265141</v>
      </c>
      <c r="J1317" t="s">
        <v>5298</v>
      </c>
      <c r="K1317">
        <v>57900</v>
      </c>
      <c r="L1317">
        <v>48250</v>
      </c>
      <c r="M1317">
        <v>-16.670000000000002</v>
      </c>
      <c r="N1317">
        <v>-1.63</v>
      </c>
      <c r="O1317">
        <v>-2.46</v>
      </c>
      <c r="P1317">
        <v>-1.53</v>
      </c>
      <c r="Q1317">
        <v>-4.2</v>
      </c>
      <c r="R1317">
        <v>-3.19</v>
      </c>
      <c r="S1317">
        <v>-2.06</v>
      </c>
      <c r="T1317">
        <v>0.48</v>
      </c>
      <c r="U1317">
        <v>0.52</v>
      </c>
      <c r="V1317">
        <v>1</v>
      </c>
      <c r="W1317">
        <v>1.83</v>
      </c>
      <c r="X1317">
        <v>0.61</v>
      </c>
      <c r="Y1317">
        <v>3.13</v>
      </c>
      <c r="Z1317">
        <v>3.4</v>
      </c>
      <c r="AA1317">
        <v>4.7300000000000004</v>
      </c>
      <c r="AB1317">
        <v>1.53</v>
      </c>
      <c r="AC1317">
        <v>2.2999999999999998</v>
      </c>
      <c r="AD1317">
        <v>5.23</v>
      </c>
      <c r="AE1317">
        <v>0.66</v>
      </c>
      <c r="AF1317">
        <v>2.9750000000000001</v>
      </c>
      <c r="AG1317" t="str">
        <f>HYPERLINK("https://finance.naver.com/item/fchart.naver?code=005610", "SPC삼립 차트보기")</f>
        <v>SPC삼립 차트보기</v>
      </c>
    </row>
    <row r="1318" spans="1:33" x14ac:dyDescent="0.3">
      <c r="A1318" t="s">
        <v>5299</v>
      </c>
      <c r="B1318" t="s">
        <v>34</v>
      </c>
      <c r="C1318" t="s">
        <v>5300</v>
      </c>
      <c r="D1318">
        <v>18239.86</v>
      </c>
      <c r="E1318" t="s">
        <v>5301</v>
      </c>
      <c r="F1318">
        <v>0</v>
      </c>
      <c r="G1318">
        <v>0</v>
      </c>
      <c r="H1318">
        <v>0</v>
      </c>
      <c r="I1318">
        <v>7.9200000762939453</v>
      </c>
      <c r="J1318" t="s">
        <v>5302</v>
      </c>
      <c r="K1318">
        <v>2915</v>
      </c>
      <c r="L1318">
        <v>2905</v>
      </c>
      <c r="M1318">
        <v>-0.34</v>
      </c>
      <c r="N1318">
        <v>-0.51</v>
      </c>
      <c r="O1318">
        <v>1.03</v>
      </c>
      <c r="P1318">
        <v>-5.38</v>
      </c>
      <c r="Q1318">
        <v>-0.96</v>
      </c>
      <c r="R1318">
        <v>3.36</v>
      </c>
      <c r="S1318">
        <v>3.12</v>
      </c>
      <c r="T1318">
        <v>0.6</v>
      </c>
      <c r="U1318">
        <v>0.74</v>
      </c>
      <c r="V1318">
        <v>1.33</v>
      </c>
      <c r="W1318">
        <v>1.53</v>
      </c>
      <c r="X1318">
        <v>0.68</v>
      </c>
      <c r="Y1318">
        <v>0.52</v>
      </c>
      <c r="Z1318">
        <v>0.85</v>
      </c>
      <c r="AA1318">
        <v>1.39</v>
      </c>
      <c r="AB1318">
        <v>4.05</v>
      </c>
      <c r="AC1318">
        <v>0.63</v>
      </c>
      <c r="AD1318">
        <v>4.9400000000000004</v>
      </c>
      <c r="AE1318">
        <v>6</v>
      </c>
      <c r="AF1318">
        <v>2.976666666666667</v>
      </c>
      <c r="AG1318" t="str">
        <f>HYPERLINK("https://finance.naver.com/item/fchart.naver?code=003475", "유안타증권우 차트보기")</f>
        <v>유안타증권우 차트보기</v>
      </c>
    </row>
    <row r="1319" spans="1:33" x14ac:dyDescent="0.3">
      <c r="A1319" t="s">
        <v>5303</v>
      </c>
      <c r="B1319" t="s">
        <v>34</v>
      </c>
      <c r="C1319" t="s">
        <v>5304</v>
      </c>
      <c r="D1319">
        <v>397800.76</v>
      </c>
      <c r="E1319" t="s">
        <v>5305</v>
      </c>
      <c r="F1319">
        <v>0</v>
      </c>
      <c r="G1319">
        <v>0.82999998331069946</v>
      </c>
      <c r="H1319">
        <v>0</v>
      </c>
      <c r="I1319">
        <v>0</v>
      </c>
      <c r="J1319" t="s">
        <v>5306</v>
      </c>
      <c r="K1319">
        <v>80900</v>
      </c>
      <c r="L1319">
        <v>92600</v>
      </c>
      <c r="M1319">
        <v>14.46</v>
      </c>
      <c r="N1319">
        <v>10.37</v>
      </c>
      <c r="O1319">
        <v>8.44</v>
      </c>
      <c r="P1319">
        <v>2.93</v>
      </c>
      <c r="Q1319">
        <v>-5.76</v>
      </c>
      <c r="R1319">
        <v>-14.23</v>
      </c>
      <c r="S1319">
        <v>27.88</v>
      </c>
      <c r="T1319">
        <v>3.32</v>
      </c>
      <c r="U1319">
        <v>3.11</v>
      </c>
      <c r="V1319">
        <v>5.0199999999999996</v>
      </c>
      <c r="W1319">
        <v>4.54</v>
      </c>
      <c r="X1319">
        <v>3.65</v>
      </c>
      <c r="Y1319">
        <v>4.4400000000000004</v>
      </c>
      <c r="Z1319">
        <v>3.12</v>
      </c>
      <c r="AA1319">
        <v>2.71</v>
      </c>
      <c r="AB1319">
        <v>0.57999999999999996</v>
      </c>
      <c r="AC1319">
        <v>1.27</v>
      </c>
      <c r="AD1319">
        <v>3.9</v>
      </c>
      <c r="AE1319">
        <v>6.28</v>
      </c>
      <c r="AF1319">
        <v>2.976666666666667</v>
      </c>
      <c r="AG1319" t="str">
        <f>HYPERLINK("https://finance.naver.com/item/fchart.naver?code=402340", "SK스퀘어 차트보기")</f>
        <v>SK스퀘어 차트보기</v>
      </c>
    </row>
    <row r="1320" spans="1:33" x14ac:dyDescent="0.3">
      <c r="A1320" t="s">
        <v>5307</v>
      </c>
      <c r="B1320" t="s">
        <v>55</v>
      </c>
      <c r="C1320" t="s">
        <v>5308</v>
      </c>
      <c r="D1320">
        <v>75767</v>
      </c>
      <c r="E1320" t="s">
        <v>5309</v>
      </c>
      <c r="F1320">
        <v>19.54</v>
      </c>
      <c r="G1320">
        <v>0.95999997854232788</v>
      </c>
      <c r="H1320">
        <v>674</v>
      </c>
      <c r="I1320">
        <v>2.339999914169312</v>
      </c>
      <c r="J1320" t="s">
        <v>5310</v>
      </c>
      <c r="K1320">
        <v>16400</v>
      </c>
      <c r="L1320">
        <v>13170</v>
      </c>
      <c r="M1320">
        <v>-19.7</v>
      </c>
      <c r="N1320">
        <v>-5.39</v>
      </c>
      <c r="O1320">
        <v>-4.38</v>
      </c>
      <c r="P1320">
        <v>-1.95</v>
      </c>
      <c r="Q1320">
        <v>-11.07</v>
      </c>
      <c r="R1320">
        <v>-9.15</v>
      </c>
      <c r="S1320">
        <v>12.01</v>
      </c>
      <c r="T1320">
        <v>1.4</v>
      </c>
      <c r="U1320">
        <v>1.46</v>
      </c>
      <c r="V1320">
        <v>2.1</v>
      </c>
      <c r="W1320">
        <v>3.04</v>
      </c>
      <c r="X1320">
        <v>2.34</v>
      </c>
      <c r="Y1320">
        <v>4.74</v>
      </c>
      <c r="Z1320">
        <v>3.85</v>
      </c>
      <c r="AA1320">
        <v>3</v>
      </c>
      <c r="AB1320">
        <v>0.93</v>
      </c>
      <c r="AC1320">
        <v>3.64</v>
      </c>
      <c r="AD1320">
        <v>3.91</v>
      </c>
      <c r="AE1320">
        <v>2.5299999999999998</v>
      </c>
      <c r="AF1320">
        <v>2.976666666666667</v>
      </c>
      <c r="AG1320" t="str">
        <f>HYPERLINK("https://finance.naver.com/item/fchart.naver?code=200130", "콜마비앤에이치 차트보기")</f>
        <v>콜마비앤에이치 차트보기</v>
      </c>
    </row>
    <row r="1321" spans="1:33" x14ac:dyDescent="0.3">
      <c r="A1321" t="s">
        <v>5311</v>
      </c>
      <c r="B1321" t="s">
        <v>34</v>
      </c>
      <c r="C1321" t="s">
        <v>5312</v>
      </c>
      <c r="D1321">
        <v>15683.95</v>
      </c>
      <c r="E1321" t="s">
        <v>5313</v>
      </c>
      <c r="F1321">
        <v>0</v>
      </c>
      <c r="G1321">
        <v>0</v>
      </c>
      <c r="H1321">
        <v>0</v>
      </c>
      <c r="I1321">
        <v>0.30000001192092901</v>
      </c>
      <c r="J1321" t="s">
        <v>5314</v>
      </c>
      <c r="K1321">
        <v>5050</v>
      </c>
      <c r="L1321">
        <v>5070</v>
      </c>
      <c r="M1321">
        <v>0.4</v>
      </c>
      <c r="N1321">
        <v>-4.16</v>
      </c>
      <c r="O1321">
        <v>11.96</v>
      </c>
      <c r="P1321">
        <v>10.96</v>
      </c>
      <c r="Q1321">
        <v>2.59</v>
      </c>
      <c r="R1321">
        <v>0.9</v>
      </c>
      <c r="S1321">
        <v>-8.91</v>
      </c>
      <c r="T1321">
        <v>1.36</v>
      </c>
      <c r="U1321">
        <v>2.1</v>
      </c>
      <c r="V1321">
        <v>1.89</v>
      </c>
      <c r="W1321">
        <v>3.14</v>
      </c>
      <c r="X1321">
        <v>7.41</v>
      </c>
      <c r="Y1321">
        <v>3.76</v>
      </c>
      <c r="Z1321">
        <v>3.06</v>
      </c>
      <c r="AA1321">
        <v>5.7</v>
      </c>
      <c r="AB1321">
        <v>5.8</v>
      </c>
      <c r="AC1321">
        <v>0.82</v>
      </c>
      <c r="AD1321">
        <v>0.12</v>
      </c>
      <c r="AE1321">
        <v>2.37</v>
      </c>
      <c r="AF1321">
        <v>2.9783333333333331</v>
      </c>
      <c r="AG1321" t="str">
        <f>HYPERLINK("https://finance.naver.com/item/fchart.naver?code=004105", "태양금속우 차트보기")</f>
        <v>태양금속우 차트보기</v>
      </c>
    </row>
    <row r="1322" spans="1:33" x14ac:dyDescent="0.3">
      <c r="A1322" t="s">
        <v>5315</v>
      </c>
      <c r="B1322" t="s">
        <v>55</v>
      </c>
      <c r="C1322" t="s">
        <v>5316</v>
      </c>
      <c r="D1322">
        <v>498937</v>
      </c>
      <c r="E1322" t="s">
        <v>5317</v>
      </c>
      <c r="F1322">
        <v>0</v>
      </c>
      <c r="G1322">
        <v>12.85000038146973</v>
      </c>
      <c r="H1322">
        <v>0</v>
      </c>
      <c r="I1322">
        <v>0</v>
      </c>
      <c r="J1322" t="s">
        <v>5318</v>
      </c>
      <c r="K1322">
        <v>9836</v>
      </c>
      <c r="L1322">
        <v>7340</v>
      </c>
      <c r="M1322">
        <v>-25.38</v>
      </c>
      <c r="N1322">
        <v>-10.27</v>
      </c>
      <c r="O1322">
        <v>-24.66</v>
      </c>
      <c r="P1322">
        <v>28.57</v>
      </c>
      <c r="Q1322">
        <v>-5.37</v>
      </c>
      <c r="R1322">
        <v>-10.36</v>
      </c>
      <c r="S1322">
        <v>-8.65</v>
      </c>
      <c r="T1322">
        <v>5.66</v>
      </c>
      <c r="U1322">
        <v>4.12</v>
      </c>
      <c r="V1322">
        <v>4.43</v>
      </c>
      <c r="W1322">
        <v>3.47</v>
      </c>
      <c r="X1322">
        <v>10.32</v>
      </c>
      <c r="Y1322">
        <v>8.07</v>
      </c>
      <c r="Z1322">
        <v>1.81</v>
      </c>
      <c r="AA1322">
        <v>5.99</v>
      </c>
      <c r="AB1322">
        <v>6.45</v>
      </c>
      <c r="AC1322">
        <v>1.55</v>
      </c>
      <c r="AD1322">
        <v>1</v>
      </c>
      <c r="AE1322">
        <v>1.07</v>
      </c>
      <c r="AF1322">
        <v>2.9783333333333331</v>
      </c>
      <c r="AG1322" t="str">
        <f>HYPERLINK("https://finance.naver.com/item/fchart.naver?code=322510", "제이엘케이 차트보기")</f>
        <v>제이엘케이 차트보기</v>
      </c>
    </row>
    <row r="1323" spans="1:33" x14ac:dyDescent="0.3">
      <c r="A1323" t="s">
        <v>5319</v>
      </c>
      <c r="B1323" t="s">
        <v>55</v>
      </c>
      <c r="C1323" t="s">
        <v>5320</v>
      </c>
      <c r="D1323">
        <v>106464.29</v>
      </c>
      <c r="E1323" t="s">
        <v>5321</v>
      </c>
      <c r="F1323">
        <v>4.25</v>
      </c>
      <c r="G1323">
        <v>0.79000002145767212</v>
      </c>
      <c r="H1323">
        <v>3997</v>
      </c>
      <c r="I1323">
        <v>1.5900000333786011</v>
      </c>
      <c r="J1323" t="s">
        <v>5322</v>
      </c>
      <c r="K1323">
        <v>26950</v>
      </c>
      <c r="L1323">
        <v>16970</v>
      </c>
      <c r="M1323">
        <v>-37.03</v>
      </c>
      <c r="N1323">
        <v>-4.18</v>
      </c>
      <c r="O1323">
        <v>-6.93</v>
      </c>
      <c r="P1323">
        <v>4.8899999999999997</v>
      </c>
      <c r="Q1323">
        <v>-8.44</v>
      </c>
      <c r="R1323">
        <v>-20.190000000000001</v>
      </c>
      <c r="S1323">
        <v>-3.38</v>
      </c>
      <c r="T1323">
        <v>2.87</v>
      </c>
      <c r="U1323">
        <v>2.08</v>
      </c>
      <c r="V1323">
        <v>4.01</v>
      </c>
      <c r="W1323">
        <v>4.09</v>
      </c>
      <c r="X1323">
        <v>2.34</v>
      </c>
      <c r="Y1323">
        <v>2.9</v>
      </c>
      <c r="Z1323">
        <v>1.46</v>
      </c>
      <c r="AA1323">
        <v>3.33</v>
      </c>
      <c r="AB1323">
        <v>1.22</v>
      </c>
      <c r="AC1323">
        <v>2.06</v>
      </c>
      <c r="AD1323">
        <v>8.6300000000000008</v>
      </c>
      <c r="AE1323">
        <v>1.17</v>
      </c>
      <c r="AF1323">
        <v>2.9783333333333339</v>
      </c>
      <c r="AG1323" t="str">
        <f>HYPERLINK("https://finance.naver.com/item/fchart.naver?code=265520", "AP시스템 차트보기")</f>
        <v>AP시스템 차트보기</v>
      </c>
    </row>
    <row r="1324" spans="1:33" x14ac:dyDescent="0.3">
      <c r="A1324" t="s">
        <v>5323</v>
      </c>
      <c r="B1324" t="s">
        <v>55</v>
      </c>
      <c r="C1324" t="s">
        <v>5324</v>
      </c>
      <c r="D1324">
        <v>9759.14</v>
      </c>
      <c r="E1324" t="s">
        <v>5325</v>
      </c>
      <c r="F1324">
        <v>5.97</v>
      </c>
      <c r="G1324">
        <v>0.68000000715255737</v>
      </c>
      <c r="H1324">
        <v>835</v>
      </c>
      <c r="I1324">
        <v>3.6099998950958252</v>
      </c>
      <c r="J1324" t="s">
        <v>5326</v>
      </c>
      <c r="K1324">
        <v>6210</v>
      </c>
      <c r="L1324">
        <v>4985</v>
      </c>
      <c r="M1324">
        <v>-19.73</v>
      </c>
      <c r="N1324">
        <v>-1.29</v>
      </c>
      <c r="O1324">
        <v>-1.17</v>
      </c>
      <c r="P1324">
        <v>0.78</v>
      </c>
      <c r="Q1324">
        <v>-5.45</v>
      </c>
      <c r="R1324">
        <v>-5.82</v>
      </c>
      <c r="S1324">
        <v>3.36</v>
      </c>
      <c r="T1324">
        <v>0.77</v>
      </c>
      <c r="U1324">
        <v>0.69</v>
      </c>
      <c r="V1324">
        <v>0.92</v>
      </c>
      <c r="W1324">
        <v>2.75</v>
      </c>
      <c r="X1324">
        <v>0.66</v>
      </c>
      <c r="Y1324">
        <v>1.18</v>
      </c>
      <c r="Z1324">
        <v>1.68</v>
      </c>
      <c r="AA1324">
        <v>1.7</v>
      </c>
      <c r="AB1324">
        <v>0.85</v>
      </c>
      <c r="AC1324">
        <v>1.98</v>
      </c>
      <c r="AD1324">
        <v>8.82</v>
      </c>
      <c r="AE1324">
        <v>2.85</v>
      </c>
      <c r="AF1324">
        <v>2.98</v>
      </c>
      <c r="AG1324" t="str">
        <f>HYPERLINK("https://finance.naver.com/item/fchart.naver?code=067920", "이글루 차트보기")</f>
        <v>이글루 차트보기</v>
      </c>
    </row>
    <row r="1325" spans="1:33" x14ac:dyDescent="0.3">
      <c r="A1325" t="s">
        <v>5327</v>
      </c>
      <c r="B1325" t="s">
        <v>55</v>
      </c>
      <c r="C1325" t="s">
        <v>5328</v>
      </c>
      <c r="D1325">
        <v>7782.29</v>
      </c>
      <c r="E1325" t="s">
        <v>5329</v>
      </c>
      <c r="F1325">
        <v>7.29</v>
      </c>
      <c r="G1325">
        <v>0.56999999284744263</v>
      </c>
      <c r="H1325">
        <v>1807</v>
      </c>
      <c r="I1325">
        <v>3.410000085830688</v>
      </c>
      <c r="J1325" t="s">
        <v>5330</v>
      </c>
      <c r="K1325">
        <v>16900</v>
      </c>
      <c r="L1325">
        <v>13180</v>
      </c>
      <c r="M1325">
        <v>-22.01</v>
      </c>
      <c r="N1325">
        <v>-4.97</v>
      </c>
      <c r="O1325">
        <v>-3.48</v>
      </c>
      <c r="P1325">
        <v>-2.72</v>
      </c>
      <c r="Q1325">
        <v>-2.44</v>
      </c>
      <c r="R1325">
        <v>-3.48</v>
      </c>
      <c r="S1325">
        <v>-2.89</v>
      </c>
      <c r="T1325">
        <v>1.69</v>
      </c>
      <c r="U1325">
        <v>0.94</v>
      </c>
      <c r="V1325">
        <v>1.54</v>
      </c>
      <c r="W1325">
        <v>2.36</v>
      </c>
      <c r="X1325">
        <v>0.7</v>
      </c>
      <c r="Y1325">
        <v>0.83</v>
      </c>
      <c r="Z1325">
        <v>2.94</v>
      </c>
      <c r="AA1325">
        <v>3.7</v>
      </c>
      <c r="AB1325">
        <v>1.77</v>
      </c>
      <c r="AC1325">
        <v>1.03</v>
      </c>
      <c r="AD1325">
        <v>4.97</v>
      </c>
      <c r="AE1325">
        <v>3.48</v>
      </c>
      <c r="AF1325">
        <v>2.9816666666666669</v>
      </c>
      <c r="AG1325" t="str">
        <f>HYPERLINK("https://finance.naver.com/item/fchart.naver?code=120240", "대정화금 차트보기")</f>
        <v>대정화금 차트보기</v>
      </c>
    </row>
    <row r="1326" spans="1:33" x14ac:dyDescent="0.3">
      <c r="A1326" t="s">
        <v>5331</v>
      </c>
      <c r="B1326" t="s">
        <v>55</v>
      </c>
      <c r="C1326" t="s">
        <v>5332</v>
      </c>
      <c r="D1326">
        <v>398441.19</v>
      </c>
      <c r="E1326" t="s">
        <v>5333</v>
      </c>
      <c r="F1326">
        <v>13.08</v>
      </c>
      <c r="G1326">
        <v>1.720000028610229</v>
      </c>
      <c r="H1326">
        <v>3310</v>
      </c>
      <c r="I1326">
        <v>0.68999999761581421</v>
      </c>
      <c r="J1326" t="s">
        <v>5334</v>
      </c>
      <c r="K1326">
        <v>42800</v>
      </c>
      <c r="L1326">
        <v>43300</v>
      </c>
      <c r="M1326">
        <v>1.17</v>
      </c>
      <c r="N1326">
        <v>4.09</v>
      </c>
      <c r="O1326">
        <v>3.24</v>
      </c>
      <c r="P1326">
        <v>10.210000000000001</v>
      </c>
      <c r="Q1326">
        <v>-10.72</v>
      </c>
      <c r="R1326">
        <v>-4.59</v>
      </c>
      <c r="S1326">
        <v>-6.71</v>
      </c>
      <c r="T1326">
        <v>3.4</v>
      </c>
      <c r="U1326">
        <v>2.6</v>
      </c>
      <c r="V1326">
        <v>3.32</v>
      </c>
      <c r="W1326">
        <v>2.88</v>
      </c>
      <c r="X1326">
        <v>1.73</v>
      </c>
      <c r="Y1326">
        <v>1.1200000000000001</v>
      </c>
      <c r="Z1326">
        <v>1.2</v>
      </c>
      <c r="AA1326">
        <v>1.25</v>
      </c>
      <c r="AB1326">
        <v>3.08</v>
      </c>
      <c r="AC1326">
        <v>3.72</v>
      </c>
      <c r="AD1326">
        <v>2.65</v>
      </c>
      <c r="AE1326">
        <v>5.99</v>
      </c>
      <c r="AF1326">
        <v>2.9816666666666669</v>
      </c>
      <c r="AG1326" t="str">
        <f>HYPERLINK("https://finance.naver.com/item/fchart.naver?code=122870", "와이지엔터테인먼트 차트보기")</f>
        <v>와이지엔터테인먼트 차트보기</v>
      </c>
    </row>
    <row r="1327" spans="1:33" x14ac:dyDescent="0.3">
      <c r="A1327" t="s">
        <v>5335</v>
      </c>
      <c r="B1327" t="s">
        <v>55</v>
      </c>
      <c r="C1327" t="s">
        <v>5336</v>
      </c>
      <c r="D1327">
        <v>246241.43</v>
      </c>
      <c r="E1327" t="s">
        <v>5337</v>
      </c>
      <c r="F1327">
        <v>9.98</v>
      </c>
      <c r="G1327">
        <v>0.47999998927116388</v>
      </c>
      <c r="H1327">
        <v>315</v>
      </c>
      <c r="I1327">
        <v>3.1800000667572021</v>
      </c>
      <c r="J1327" t="s">
        <v>5338</v>
      </c>
      <c r="K1327">
        <v>2975</v>
      </c>
      <c r="L1327">
        <v>3145</v>
      </c>
      <c r="M1327">
        <v>5.71</v>
      </c>
      <c r="N1327">
        <v>3.45</v>
      </c>
      <c r="O1327">
        <v>1.99</v>
      </c>
      <c r="P1327">
        <v>-2.08</v>
      </c>
      <c r="Q1327">
        <v>-11.66</v>
      </c>
      <c r="R1327">
        <v>15.59</v>
      </c>
      <c r="S1327">
        <v>6.37</v>
      </c>
      <c r="T1327">
        <v>1.1100000000000001</v>
      </c>
      <c r="U1327">
        <v>1.3</v>
      </c>
      <c r="V1327">
        <v>1.1100000000000001</v>
      </c>
      <c r="W1327">
        <v>3.39</v>
      </c>
      <c r="X1327">
        <v>2.37</v>
      </c>
      <c r="Y1327">
        <v>4.6900000000000004</v>
      </c>
      <c r="Z1327">
        <v>3.11</v>
      </c>
      <c r="AA1327">
        <v>1.53</v>
      </c>
      <c r="AB1327">
        <v>1.87</v>
      </c>
      <c r="AC1327">
        <v>3.44</v>
      </c>
      <c r="AD1327">
        <v>6.58</v>
      </c>
      <c r="AE1327">
        <v>1.36</v>
      </c>
      <c r="AF1327">
        <v>2.9816666666666669</v>
      </c>
      <c r="AG1327" t="str">
        <f>HYPERLINK("https://finance.naver.com/item/fchart.naver?code=038500", "삼표시멘트 차트보기")</f>
        <v>삼표시멘트 차트보기</v>
      </c>
    </row>
    <row r="1328" spans="1:33" x14ac:dyDescent="0.3">
      <c r="A1328" t="s">
        <v>5339</v>
      </c>
      <c r="B1328" t="s">
        <v>55</v>
      </c>
      <c r="C1328" t="s">
        <v>5340</v>
      </c>
      <c r="D1328">
        <v>4778.71</v>
      </c>
      <c r="E1328" t="s">
        <v>5341</v>
      </c>
      <c r="F1328">
        <v>0</v>
      </c>
      <c r="G1328">
        <v>0</v>
      </c>
      <c r="H1328">
        <v>0</v>
      </c>
      <c r="I1328">
        <v>0</v>
      </c>
      <c r="J1328" t="s">
        <v>5342</v>
      </c>
      <c r="K1328">
        <v>2100</v>
      </c>
      <c r="L1328">
        <v>2045</v>
      </c>
      <c r="M1328">
        <v>-2.62</v>
      </c>
      <c r="N1328">
        <v>-1.21</v>
      </c>
      <c r="O1328">
        <v>-0.72</v>
      </c>
      <c r="P1328">
        <v>-3.72</v>
      </c>
      <c r="Q1328">
        <v>-0.94</v>
      </c>
      <c r="R1328">
        <v>2.12</v>
      </c>
      <c r="S1328">
        <v>1.89</v>
      </c>
      <c r="T1328">
        <v>0.46</v>
      </c>
      <c r="U1328">
        <v>0.45</v>
      </c>
      <c r="V1328">
        <v>0.71</v>
      </c>
      <c r="W1328">
        <v>0.52</v>
      </c>
      <c r="X1328">
        <v>0.49</v>
      </c>
      <c r="Y1328">
        <v>0.83</v>
      </c>
      <c r="Z1328">
        <v>2.63</v>
      </c>
      <c r="AA1328">
        <v>1.6</v>
      </c>
      <c r="AB1328">
        <v>5.24</v>
      </c>
      <c r="AC1328">
        <v>1.81</v>
      </c>
      <c r="AD1328">
        <v>4.33</v>
      </c>
      <c r="AE1328">
        <v>2.2799999999999998</v>
      </c>
      <c r="AF1328">
        <v>2.9816666666666669</v>
      </c>
      <c r="AG1328" t="str">
        <f>HYPERLINK("https://finance.naver.com/item/fchart.naver?code=444920", "유안타제11호스팩 차트보기")</f>
        <v>유안타제11호스팩 차트보기</v>
      </c>
    </row>
    <row r="1329" spans="1:33" x14ac:dyDescent="0.3">
      <c r="A1329" t="s">
        <v>5343</v>
      </c>
      <c r="B1329" t="s">
        <v>55</v>
      </c>
      <c r="C1329" t="s">
        <v>5344</v>
      </c>
      <c r="D1329">
        <v>195510.14</v>
      </c>
      <c r="E1329" t="s">
        <v>5345</v>
      </c>
      <c r="F1329">
        <v>0</v>
      </c>
      <c r="G1329">
        <v>3.119999885559082</v>
      </c>
      <c r="H1329">
        <v>0</v>
      </c>
      <c r="I1329">
        <v>0</v>
      </c>
      <c r="J1329" t="s">
        <v>5346</v>
      </c>
      <c r="K1329">
        <v>20500</v>
      </c>
      <c r="L1329">
        <v>16490</v>
      </c>
      <c r="M1329">
        <v>-19.559999999999999</v>
      </c>
      <c r="N1329">
        <v>2.2999999999999998</v>
      </c>
      <c r="O1329">
        <v>1.56</v>
      </c>
      <c r="P1329">
        <v>-10.95</v>
      </c>
      <c r="Q1329">
        <v>-7.79</v>
      </c>
      <c r="R1329">
        <v>-23.11</v>
      </c>
      <c r="S1329">
        <v>18.25</v>
      </c>
      <c r="T1329">
        <v>1.69</v>
      </c>
      <c r="U1329">
        <v>3.44</v>
      </c>
      <c r="V1329">
        <v>2.71</v>
      </c>
      <c r="W1329">
        <v>5.74</v>
      </c>
      <c r="X1329">
        <v>3.44</v>
      </c>
      <c r="Y1329">
        <v>4.58</v>
      </c>
      <c r="Z1329">
        <v>1.36</v>
      </c>
      <c r="AA1329">
        <v>0.45</v>
      </c>
      <c r="AB1329">
        <v>4.04</v>
      </c>
      <c r="AC1329">
        <v>1.36</v>
      </c>
      <c r="AD1329">
        <v>6.72</v>
      </c>
      <c r="AE1329">
        <v>3.98</v>
      </c>
      <c r="AF1329">
        <v>2.9849999999999999</v>
      </c>
      <c r="AG1329" t="str">
        <f>HYPERLINK("https://finance.naver.com/item/fchart.naver?code=228760", "지노믹트리 차트보기")</f>
        <v>지노믹트리 차트보기</v>
      </c>
    </row>
    <row r="1330" spans="1:33" x14ac:dyDescent="0.3">
      <c r="A1330" t="s">
        <v>5347</v>
      </c>
      <c r="B1330" t="s">
        <v>55</v>
      </c>
      <c r="C1330" t="s">
        <v>5348</v>
      </c>
      <c r="D1330">
        <v>18403.900000000001</v>
      </c>
      <c r="E1330" t="s">
        <v>5349</v>
      </c>
      <c r="F1330">
        <v>13.13</v>
      </c>
      <c r="G1330">
        <v>1.360000014305115</v>
      </c>
      <c r="H1330">
        <v>225</v>
      </c>
      <c r="I1330">
        <v>0</v>
      </c>
      <c r="J1330" t="s">
        <v>5350</v>
      </c>
      <c r="K1330">
        <v>4445</v>
      </c>
      <c r="L1330">
        <v>2955</v>
      </c>
      <c r="M1330">
        <v>-33.520000000000003</v>
      </c>
      <c r="N1330">
        <v>-1.83</v>
      </c>
      <c r="O1330">
        <v>0</v>
      </c>
      <c r="P1330">
        <v>-1.6</v>
      </c>
      <c r="Q1330">
        <v>-10</v>
      </c>
      <c r="R1330">
        <v>-6.43</v>
      </c>
      <c r="S1330">
        <v>-9.18</v>
      </c>
      <c r="T1330">
        <v>1.21</v>
      </c>
      <c r="U1330">
        <v>0.96</v>
      </c>
      <c r="V1330">
        <v>1.99</v>
      </c>
      <c r="W1330">
        <v>3.32</v>
      </c>
      <c r="X1330">
        <v>1.83</v>
      </c>
      <c r="Y1330">
        <v>1.01</v>
      </c>
      <c r="Z1330">
        <v>1.51</v>
      </c>
      <c r="AA1330">
        <v>0</v>
      </c>
      <c r="AB1330">
        <v>0.8</v>
      </c>
      <c r="AC1330">
        <v>3.01</v>
      </c>
      <c r="AD1330">
        <v>3.51</v>
      </c>
      <c r="AE1330">
        <v>9.09</v>
      </c>
      <c r="AF1330">
        <v>2.9866666666666668</v>
      </c>
      <c r="AG1330" t="str">
        <f>HYPERLINK("https://finance.naver.com/item/fchart.naver?code=238120", "얼라인드 차트보기")</f>
        <v>얼라인드 차트보기</v>
      </c>
    </row>
    <row r="1331" spans="1:33" x14ac:dyDescent="0.3">
      <c r="A1331" t="s">
        <v>5351</v>
      </c>
      <c r="B1331" t="s">
        <v>34</v>
      </c>
      <c r="C1331" t="s">
        <v>5352</v>
      </c>
      <c r="D1331">
        <v>118654.24</v>
      </c>
      <c r="E1331" t="s">
        <v>5353</v>
      </c>
      <c r="F1331">
        <v>12.68</v>
      </c>
      <c r="G1331">
        <v>0.5</v>
      </c>
      <c r="H1331">
        <v>367</v>
      </c>
      <c r="I1331">
        <v>5.8000001907348633</v>
      </c>
      <c r="J1331" t="s">
        <v>5354</v>
      </c>
      <c r="K1331">
        <v>4845</v>
      </c>
      <c r="L1331">
        <v>4655</v>
      </c>
      <c r="M1331">
        <v>-3.92</v>
      </c>
      <c r="N1331">
        <v>-3.42</v>
      </c>
      <c r="O1331">
        <v>4.04</v>
      </c>
      <c r="P1331">
        <v>2.52</v>
      </c>
      <c r="Q1331">
        <v>3.24</v>
      </c>
      <c r="R1331">
        <v>1.47</v>
      </c>
      <c r="S1331">
        <v>-9.1</v>
      </c>
      <c r="T1331">
        <v>1.23</v>
      </c>
      <c r="U1331">
        <v>1.01</v>
      </c>
      <c r="V1331">
        <v>1.92</v>
      </c>
      <c r="W1331">
        <v>1.76</v>
      </c>
      <c r="X1331">
        <v>1.49</v>
      </c>
      <c r="Y1331">
        <v>1.3</v>
      </c>
      <c r="Z1331">
        <v>2.78</v>
      </c>
      <c r="AA1331">
        <v>4</v>
      </c>
      <c r="AB1331">
        <v>1.31</v>
      </c>
      <c r="AC1331">
        <v>1.84</v>
      </c>
      <c r="AD1331">
        <v>0.99</v>
      </c>
      <c r="AE1331">
        <v>7</v>
      </c>
      <c r="AF1331">
        <v>2.9866666666666668</v>
      </c>
      <c r="AG1331" t="str">
        <f>HYPERLINK("https://finance.naver.com/item/fchart.naver?code=095570", "AJ네트웍스 차트보기")</f>
        <v>AJ네트웍스 차트보기</v>
      </c>
    </row>
    <row r="1332" spans="1:33" x14ac:dyDescent="0.3">
      <c r="A1332" t="s">
        <v>5355</v>
      </c>
      <c r="B1332" t="s">
        <v>55</v>
      </c>
      <c r="C1332" t="s">
        <v>5356</v>
      </c>
      <c r="D1332">
        <v>406419.33</v>
      </c>
      <c r="E1332" t="s">
        <v>5357</v>
      </c>
      <c r="F1332">
        <v>16.09</v>
      </c>
      <c r="G1332">
        <v>1.179999947547913</v>
      </c>
      <c r="H1332">
        <v>635</v>
      </c>
      <c r="I1332">
        <v>3.2300000190734859</v>
      </c>
      <c r="J1332" t="s">
        <v>5358</v>
      </c>
      <c r="K1332">
        <v>13400</v>
      </c>
      <c r="L1332">
        <v>10220</v>
      </c>
      <c r="M1332">
        <v>-23.73</v>
      </c>
      <c r="N1332">
        <v>5.04</v>
      </c>
      <c r="O1332">
        <v>9.6199999999999992</v>
      </c>
      <c r="P1332">
        <v>-2.5099999999999998</v>
      </c>
      <c r="Q1332">
        <v>-13.45</v>
      </c>
      <c r="R1332">
        <v>-7.06</v>
      </c>
      <c r="S1332">
        <v>-11.24</v>
      </c>
      <c r="T1332">
        <v>1.82</v>
      </c>
      <c r="U1332">
        <v>3.26</v>
      </c>
      <c r="V1332">
        <v>2.64</v>
      </c>
      <c r="W1332">
        <v>4.62</v>
      </c>
      <c r="X1332">
        <v>2.15</v>
      </c>
      <c r="Y1332">
        <v>2.2200000000000002</v>
      </c>
      <c r="Z1332">
        <v>2.77</v>
      </c>
      <c r="AA1332">
        <v>2.95</v>
      </c>
      <c r="AB1332">
        <v>0.95</v>
      </c>
      <c r="AC1332">
        <v>2.91</v>
      </c>
      <c r="AD1332">
        <v>3.28</v>
      </c>
      <c r="AE1332">
        <v>5.0599999999999996</v>
      </c>
      <c r="AF1332">
        <v>2.9866666666666668</v>
      </c>
      <c r="AG1332" t="str">
        <f>HYPERLINK("https://finance.naver.com/item/fchart.naver?code=094820", "일진파워 차트보기")</f>
        <v>일진파워 차트보기</v>
      </c>
    </row>
    <row r="1333" spans="1:33" x14ac:dyDescent="0.3">
      <c r="A1333" t="s">
        <v>5359</v>
      </c>
      <c r="B1333" t="s">
        <v>34</v>
      </c>
      <c r="C1333" t="s">
        <v>5360</v>
      </c>
      <c r="D1333">
        <v>157857.19</v>
      </c>
      <c r="E1333" t="s">
        <v>5361</v>
      </c>
      <c r="F1333">
        <v>6.14</v>
      </c>
      <c r="G1333">
        <v>0.40999999642372131</v>
      </c>
      <c r="H1333">
        <v>913</v>
      </c>
      <c r="I1333">
        <v>1.779999971389771</v>
      </c>
      <c r="J1333" t="s">
        <v>5362</v>
      </c>
      <c r="K1333">
        <v>6820</v>
      </c>
      <c r="L1333">
        <v>5610</v>
      </c>
      <c r="M1333">
        <v>-17.739999999999998</v>
      </c>
      <c r="N1333">
        <v>2.19</v>
      </c>
      <c r="O1333">
        <v>-3.15</v>
      </c>
      <c r="P1333">
        <v>-3.8</v>
      </c>
      <c r="Q1333">
        <v>-10.44</v>
      </c>
      <c r="R1333">
        <v>2.77</v>
      </c>
      <c r="S1333">
        <v>-3.59</v>
      </c>
      <c r="T1333">
        <v>0.63</v>
      </c>
      <c r="U1333">
        <v>1.22</v>
      </c>
      <c r="V1333">
        <v>1.42</v>
      </c>
      <c r="W1333">
        <v>3.47</v>
      </c>
      <c r="X1333">
        <v>1.1000000000000001</v>
      </c>
      <c r="Y1333">
        <v>0.98</v>
      </c>
      <c r="Z1333">
        <v>3.48</v>
      </c>
      <c r="AA1333">
        <v>2.58</v>
      </c>
      <c r="AB1333">
        <v>2.68</v>
      </c>
      <c r="AC1333">
        <v>3.01</v>
      </c>
      <c r="AD1333">
        <v>2.52</v>
      </c>
      <c r="AE1333">
        <v>3.66</v>
      </c>
      <c r="AF1333">
        <v>2.9883333333333328</v>
      </c>
      <c r="AG1333" t="str">
        <f>HYPERLINK("https://finance.naver.com/item/fchart.naver?code=009290", "광동제약 차트보기")</f>
        <v>광동제약 차트보기</v>
      </c>
    </row>
    <row r="1334" spans="1:33" x14ac:dyDescent="0.3">
      <c r="A1334" t="s">
        <v>5363</v>
      </c>
      <c r="B1334" t="s">
        <v>55</v>
      </c>
      <c r="C1334" t="s">
        <v>5364</v>
      </c>
      <c r="D1334">
        <v>862974.19</v>
      </c>
      <c r="E1334" t="s">
        <v>5365</v>
      </c>
      <c r="F1334">
        <v>0</v>
      </c>
      <c r="G1334">
        <v>7.2600002288818359</v>
      </c>
      <c r="H1334">
        <v>0</v>
      </c>
      <c r="I1334">
        <v>0</v>
      </c>
      <c r="J1334" t="s">
        <v>5366</v>
      </c>
      <c r="K1334">
        <v>5770</v>
      </c>
      <c r="L1334">
        <v>3400</v>
      </c>
      <c r="M1334">
        <v>-41.07</v>
      </c>
      <c r="N1334">
        <v>-3.13</v>
      </c>
      <c r="O1334">
        <v>-1.79</v>
      </c>
      <c r="P1334">
        <v>1.38</v>
      </c>
      <c r="Q1334">
        <v>-12.58</v>
      </c>
      <c r="R1334">
        <v>-10.78</v>
      </c>
      <c r="S1334">
        <v>-6.38</v>
      </c>
      <c r="T1334">
        <v>1.44</v>
      </c>
      <c r="U1334">
        <v>2.09</v>
      </c>
      <c r="V1334">
        <v>2.93</v>
      </c>
      <c r="W1334">
        <v>3.72</v>
      </c>
      <c r="X1334">
        <v>1.42</v>
      </c>
      <c r="Y1334">
        <v>1.84</v>
      </c>
      <c r="Z1334">
        <v>2.17</v>
      </c>
      <c r="AA1334">
        <v>0.86</v>
      </c>
      <c r="AB1334">
        <v>0.47</v>
      </c>
      <c r="AC1334">
        <v>3.38</v>
      </c>
      <c r="AD1334">
        <v>7.59</v>
      </c>
      <c r="AE1334">
        <v>3.47</v>
      </c>
      <c r="AF1334">
        <v>2.99</v>
      </c>
      <c r="AG1334" t="str">
        <f>HYPERLINK("https://finance.naver.com/item/fchart.naver?code=294630", "서남 차트보기")</f>
        <v>서남 차트보기</v>
      </c>
    </row>
    <row r="1335" spans="1:33" x14ac:dyDescent="0.3">
      <c r="A1335" t="s">
        <v>5367</v>
      </c>
      <c r="B1335" t="s">
        <v>55</v>
      </c>
      <c r="C1335" t="s">
        <v>5368</v>
      </c>
      <c r="D1335">
        <v>1251558.1399999999</v>
      </c>
      <c r="E1335" t="s">
        <v>5369</v>
      </c>
      <c r="F1335">
        <v>141.72</v>
      </c>
      <c r="G1335">
        <v>3.6500000953674321</v>
      </c>
      <c r="H1335">
        <v>151</v>
      </c>
      <c r="I1335">
        <v>0</v>
      </c>
      <c r="J1335" t="s">
        <v>5370</v>
      </c>
      <c r="K1335">
        <v>16130</v>
      </c>
      <c r="L1335">
        <v>21400</v>
      </c>
      <c r="M1335">
        <v>32.67</v>
      </c>
      <c r="N1335">
        <v>10.08</v>
      </c>
      <c r="O1335">
        <v>-14.53</v>
      </c>
      <c r="P1335">
        <v>7.42</v>
      </c>
      <c r="Q1335">
        <v>16.62</v>
      </c>
      <c r="R1335">
        <v>25.85</v>
      </c>
      <c r="S1335">
        <v>15.65</v>
      </c>
      <c r="T1335">
        <v>4.59</v>
      </c>
      <c r="U1335">
        <v>2.89</v>
      </c>
      <c r="V1335">
        <v>7.27</v>
      </c>
      <c r="W1335">
        <v>5.7</v>
      </c>
      <c r="X1335">
        <v>5.97</v>
      </c>
      <c r="Y1335">
        <v>6.41</v>
      </c>
      <c r="Z1335">
        <v>2.2000000000000002</v>
      </c>
      <c r="AA1335">
        <v>5.03</v>
      </c>
      <c r="AB1335">
        <v>1.02</v>
      </c>
      <c r="AC1335">
        <v>2.92</v>
      </c>
      <c r="AD1335">
        <v>4.33</v>
      </c>
      <c r="AE1335">
        <v>2.44</v>
      </c>
      <c r="AF1335">
        <v>2.99</v>
      </c>
      <c r="AG1335" t="str">
        <f>HYPERLINK("https://finance.naver.com/item/fchart.naver?code=053030", "바이넥스 차트보기")</f>
        <v>바이넥스 차트보기</v>
      </c>
    </row>
    <row r="1336" spans="1:33" x14ac:dyDescent="0.3">
      <c r="A1336" t="s">
        <v>5371</v>
      </c>
      <c r="B1336" t="s">
        <v>34</v>
      </c>
      <c r="C1336" t="s">
        <v>5372</v>
      </c>
      <c r="D1336">
        <v>87686.95</v>
      </c>
      <c r="E1336" t="s">
        <v>5373</v>
      </c>
      <c r="F1336">
        <v>83.56</v>
      </c>
      <c r="G1336">
        <v>7.2899999618530273</v>
      </c>
      <c r="H1336">
        <v>12051</v>
      </c>
      <c r="I1336">
        <v>0</v>
      </c>
      <c r="J1336" t="s">
        <v>5374</v>
      </c>
      <c r="K1336">
        <v>784000</v>
      </c>
      <c r="L1336">
        <v>1007000</v>
      </c>
      <c r="M1336">
        <v>28.44</v>
      </c>
      <c r="N1336">
        <v>0.9</v>
      </c>
      <c r="O1336">
        <v>2.56</v>
      </c>
      <c r="P1336">
        <v>1.24</v>
      </c>
      <c r="Q1336">
        <v>5.95</v>
      </c>
      <c r="R1336">
        <v>23.58</v>
      </c>
      <c r="S1336">
        <v>-3.32</v>
      </c>
      <c r="T1336">
        <v>1.72</v>
      </c>
      <c r="U1336">
        <v>2.2400000000000002</v>
      </c>
      <c r="V1336">
        <v>2.75</v>
      </c>
      <c r="W1336">
        <v>2.2000000000000002</v>
      </c>
      <c r="X1336">
        <v>2.2400000000000002</v>
      </c>
      <c r="Y1336">
        <v>1.27</v>
      </c>
      <c r="Z1336">
        <v>0.52</v>
      </c>
      <c r="AA1336">
        <v>1.1399999999999999</v>
      </c>
      <c r="AB1336">
        <v>0.45</v>
      </c>
      <c r="AC1336">
        <v>2.7</v>
      </c>
      <c r="AD1336">
        <v>10.53</v>
      </c>
      <c r="AE1336">
        <v>2.61</v>
      </c>
      <c r="AF1336">
        <v>2.9916666666666671</v>
      </c>
      <c r="AG1336" t="str">
        <f>HYPERLINK("https://finance.naver.com/item/fchart.naver?code=207940", "삼성바이오로직스 차트보기")</f>
        <v>삼성바이오로직스 차트보기</v>
      </c>
    </row>
    <row r="1337" spans="1:33" x14ac:dyDescent="0.3">
      <c r="A1337" t="s">
        <v>5375</v>
      </c>
      <c r="B1337" t="s">
        <v>34</v>
      </c>
      <c r="C1337" t="s">
        <v>5376</v>
      </c>
      <c r="D1337">
        <v>52076.1</v>
      </c>
      <c r="E1337" t="s">
        <v>5377</v>
      </c>
      <c r="F1337">
        <v>3.4</v>
      </c>
      <c r="G1337">
        <v>0.54000002145767212</v>
      </c>
      <c r="H1337">
        <v>11762</v>
      </c>
      <c r="I1337">
        <v>3.25</v>
      </c>
      <c r="J1337" t="s">
        <v>5378</v>
      </c>
      <c r="K1337">
        <v>38850</v>
      </c>
      <c r="L1337">
        <v>40000</v>
      </c>
      <c r="M1337">
        <v>2.96</v>
      </c>
      <c r="N1337">
        <v>-4.53</v>
      </c>
      <c r="O1337">
        <v>1.32</v>
      </c>
      <c r="P1337">
        <v>11.91</v>
      </c>
      <c r="Q1337">
        <v>-5.24</v>
      </c>
      <c r="R1337">
        <v>11.64</v>
      </c>
      <c r="S1337">
        <v>3.41</v>
      </c>
      <c r="T1337">
        <v>1.28</v>
      </c>
      <c r="U1337">
        <v>2.2599999999999998</v>
      </c>
      <c r="V1337">
        <v>2.11</v>
      </c>
      <c r="W1337">
        <v>2.96</v>
      </c>
      <c r="X1337">
        <v>2.33</v>
      </c>
      <c r="Y1337">
        <v>2.39</v>
      </c>
      <c r="Z1337">
        <v>3.54</v>
      </c>
      <c r="AA1337">
        <v>0.57999999999999996</v>
      </c>
      <c r="AB1337">
        <v>5.64</v>
      </c>
      <c r="AC1337">
        <v>1.77</v>
      </c>
      <c r="AD1337">
        <v>5</v>
      </c>
      <c r="AE1337">
        <v>1.43</v>
      </c>
      <c r="AF1337">
        <v>2.9933333333333341</v>
      </c>
      <c r="AG1337" t="str">
        <f>HYPERLINK("https://finance.naver.com/item/fchart.naver?code=111770", "영원무역 차트보기")</f>
        <v>영원무역 차트보기</v>
      </c>
    </row>
    <row r="1338" spans="1:33" x14ac:dyDescent="0.3">
      <c r="A1338" t="s">
        <v>5379</v>
      </c>
      <c r="B1338" t="s">
        <v>55</v>
      </c>
      <c r="C1338" t="s">
        <v>5380</v>
      </c>
      <c r="D1338">
        <v>367672.95</v>
      </c>
      <c r="E1338" t="s">
        <v>5381</v>
      </c>
      <c r="F1338">
        <v>8.3800000000000008</v>
      </c>
      <c r="G1338">
        <v>0.44999998807907099</v>
      </c>
      <c r="H1338">
        <v>167</v>
      </c>
      <c r="I1338">
        <v>0</v>
      </c>
      <c r="J1338" t="s">
        <v>5382</v>
      </c>
      <c r="K1338">
        <v>1954</v>
      </c>
      <c r="L1338">
        <v>1399</v>
      </c>
      <c r="M1338">
        <v>-28.4</v>
      </c>
      <c r="N1338">
        <v>-2.2400000000000002</v>
      </c>
      <c r="O1338">
        <v>-4.26</v>
      </c>
      <c r="P1338">
        <v>-3.12</v>
      </c>
      <c r="Q1338">
        <v>-6.61</v>
      </c>
      <c r="R1338">
        <v>-9.4</v>
      </c>
      <c r="S1338">
        <v>-2.91</v>
      </c>
      <c r="T1338">
        <v>1.04</v>
      </c>
      <c r="U1338">
        <v>1.74</v>
      </c>
      <c r="V1338">
        <v>1.85</v>
      </c>
      <c r="W1338">
        <v>5.31</v>
      </c>
      <c r="X1338">
        <v>1.18</v>
      </c>
      <c r="Y1338">
        <v>1.18</v>
      </c>
      <c r="Z1338">
        <v>2.15</v>
      </c>
      <c r="AA1338">
        <v>2.4500000000000002</v>
      </c>
      <c r="AB1338">
        <v>1.69</v>
      </c>
      <c r="AC1338">
        <v>1.24</v>
      </c>
      <c r="AD1338">
        <v>7.97</v>
      </c>
      <c r="AE1338">
        <v>2.4700000000000002</v>
      </c>
      <c r="AF1338">
        <v>2.9950000000000001</v>
      </c>
      <c r="AG1338" t="str">
        <f>HYPERLINK("https://finance.naver.com/item/fchart.naver?code=122350", "삼기 차트보기")</f>
        <v>삼기 차트보기</v>
      </c>
    </row>
    <row r="1339" spans="1:33" x14ac:dyDescent="0.3">
      <c r="A1339" t="s">
        <v>5383</v>
      </c>
      <c r="B1339" t="s">
        <v>34</v>
      </c>
      <c r="C1339" t="s">
        <v>5384</v>
      </c>
      <c r="D1339">
        <v>436065.33</v>
      </c>
      <c r="E1339" t="s">
        <v>5385</v>
      </c>
      <c r="F1339">
        <v>17.920000000000002</v>
      </c>
      <c r="G1339">
        <v>2.5099999904632568</v>
      </c>
      <c r="H1339">
        <v>1108</v>
      </c>
      <c r="I1339">
        <v>0</v>
      </c>
      <c r="J1339" t="s">
        <v>5386</v>
      </c>
      <c r="K1339">
        <v>17350</v>
      </c>
      <c r="L1339">
        <v>19850</v>
      </c>
      <c r="M1339">
        <v>14.41</v>
      </c>
      <c r="N1339">
        <v>6.89</v>
      </c>
      <c r="O1339">
        <v>-0.93</v>
      </c>
      <c r="P1339">
        <v>3.36</v>
      </c>
      <c r="Q1339">
        <v>-21.22</v>
      </c>
      <c r="R1339">
        <v>19.62</v>
      </c>
      <c r="S1339">
        <v>20.82</v>
      </c>
      <c r="T1339">
        <v>3.41</v>
      </c>
      <c r="U1339">
        <v>2.2999999999999998</v>
      </c>
      <c r="V1339">
        <v>3.68</v>
      </c>
      <c r="W1339">
        <v>5.35</v>
      </c>
      <c r="X1339">
        <v>6.08</v>
      </c>
      <c r="Y1339">
        <v>2.8</v>
      </c>
      <c r="Z1339">
        <v>2.02</v>
      </c>
      <c r="AA1339">
        <v>0.4</v>
      </c>
      <c r="AB1339">
        <v>0.91</v>
      </c>
      <c r="AC1339">
        <v>3.97</v>
      </c>
      <c r="AD1339">
        <v>3.23</v>
      </c>
      <c r="AE1339">
        <v>7.44</v>
      </c>
      <c r="AF1339">
        <v>2.995000000000001</v>
      </c>
      <c r="AG1339" t="str">
        <f>HYPERLINK("https://finance.naver.com/item/fchart.naver?code=071970", "HD현대마린엔진 차트보기")</f>
        <v>HD현대마린엔진 차트보기</v>
      </c>
    </row>
    <row r="1340" spans="1:33" x14ac:dyDescent="0.3">
      <c r="A1340" t="s">
        <v>5387</v>
      </c>
      <c r="B1340" t="s">
        <v>55</v>
      </c>
      <c r="C1340" t="s">
        <v>5388</v>
      </c>
      <c r="D1340">
        <v>75616.570000000007</v>
      </c>
      <c r="E1340" t="s">
        <v>5389</v>
      </c>
      <c r="F1340">
        <v>50.28</v>
      </c>
      <c r="G1340">
        <v>1.309999942779541</v>
      </c>
      <c r="H1340">
        <v>144</v>
      </c>
      <c r="I1340">
        <v>0</v>
      </c>
      <c r="J1340" t="s">
        <v>5390</v>
      </c>
      <c r="K1340">
        <v>11580</v>
      </c>
      <c r="L1340">
        <v>7240</v>
      </c>
      <c r="M1340">
        <v>-37.479999999999997</v>
      </c>
      <c r="N1340">
        <v>0.56000000000000005</v>
      </c>
      <c r="O1340">
        <v>-2.83</v>
      </c>
      <c r="P1340">
        <v>-5.9</v>
      </c>
      <c r="Q1340">
        <v>0.12</v>
      </c>
      <c r="R1340">
        <v>-7.54</v>
      </c>
      <c r="S1340">
        <v>-9.83</v>
      </c>
      <c r="T1340">
        <v>3.35</v>
      </c>
      <c r="U1340">
        <v>1.56</v>
      </c>
      <c r="V1340">
        <v>2.7</v>
      </c>
      <c r="W1340">
        <v>5.57</v>
      </c>
      <c r="X1340">
        <v>1.3</v>
      </c>
      <c r="Y1340">
        <v>1.23</v>
      </c>
      <c r="Z1340">
        <v>0.17</v>
      </c>
      <c r="AA1340">
        <v>1.81</v>
      </c>
      <c r="AB1340">
        <v>2.19</v>
      </c>
      <c r="AC1340">
        <v>0.02</v>
      </c>
      <c r="AD1340">
        <v>5.8</v>
      </c>
      <c r="AE1340">
        <v>7.99</v>
      </c>
      <c r="AF1340">
        <v>2.9966666666666661</v>
      </c>
      <c r="AG1340" t="str">
        <f>HYPERLINK("https://finance.naver.com/item/fchart.naver?code=303530", "이노뎁 차트보기")</f>
        <v>이노뎁 차트보기</v>
      </c>
    </row>
    <row r="1341" spans="1:33" x14ac:dyDescent="0.3">
      <c r="A1341" t="s">
        <v>5391</v>
      </c>
      <c r="B1341" t="s">
        <v>55</v>
      </c>
      <c r="C1341" t="s">
        <v>5392</v>
      </c>
      <c r="D1341">
        <v>60537.67</v>
      </c>
      <c r="E1341" t="s">
        <v>5393</v>
      </c>
      <c r="F1341">
        <v>2.81</v>
      </c>
      <c r="G1341">
        <v>0.28999999165534968</v>
      </c>
      <c r="H1341">
        <v>199</v>
      </c>
      <c r="I1341">
        <v>5.0100002288818359</v>
      </c>
      <c r="J1341" t="s">
        <v>5394</v>
      </c>
      <c r="K1341">
        <v>631</v>
      </c>
      <c r="L1341">
        <v>559</v>
      </c>
      <c r="M1341">
        <v>-11.41</v>
      </c>
      <c r="N1341">
        <v>0</v>
      </c>
      <c r="O1341">
        <v>-2.27</v>
      </c>
      <c r="P1341">
        <v>-1.38</v>
      </c>
      <c r="Q1341">
        <v>-2.83</v>
      </c>
      <c r="R1341">
        <v>-0.17</v>
      </c>
      <c r="S1341">
        <v>-3.38</v>
      </c>
      <c r="T1341">
        <v>0.39</v>
      </c>
      <c r="U1341">
        <v>0.42</v>
      </c>
      <c r="V1341">
        <v>0.61</v>
      </c>
      <c r="W1341">
        <v>2.62</v>
      </c>
      <c r="X1341">
        <v>0.48</v>
      </c>
      <c r="Y1341">
        <v>0.38</v>
      </c>
      <c r="Z1341">
        <v>0</v>
      </c>
      <c r="AA1341">
        <v>5.4</v>
      </c>
      <c r="AB1341">
        <v>2.2599999999999998</v>
      </c>
      <c r="AC1341">
        <v>1.08</v>
      </c>
      <c r="AD1341">
        <v>0.35</v>
      </c>
      <c r="AE1341">
        <v>8.89</v>
      </c>
      <c r="AF1341">
        <v>2.996666666666667</v>
      </c>
      <c r="AG1341" t="str">
        <f>HYPERLINK("https://finance.naver.com/item/fchart.naver?code=023760", "한국캐피탈 차트보기")</f>
        <v>한국캐피탈 차트보기</v>
      </c>
    </row>
    <row r="1342" spans="1:33" x14ac:dyDescent="0.3">
      <c r="A1342" t="s">
        <v>5395</v>
      </c>
      <c r="B1342" t="s">
        <v>55</v>
      </c>
      <c r="C1342" t="s">
        <v>5396</v>
      </c>
      <c r="D1342">
        <v>467203.52</v>
      </c>
      <c r="E1342" t="s">
        <v>5397</v>
      </c>
      <c r="F1342">
        <v>13.89</v>
      </c>
      <c r="G1342">
        <v>1.049999952316284</v>
      </c>
      <c r="H1342">
        <v>1142</v>
      </c>
      <c r="I1342">
        <v>1.580000042915344</v>
      </c>
      <c r="J1342" t="s">
        <v>5398</v>
      </c>
      <c r="K1342">
        <v>22650</v>
      </c>
      <c r="L1342">
        <v>15860</v>
      </c>
      <c r="M1342">
        <v>-29.98</v>
      </c>
      <c r="N1342">
        <v>16.53</v>
      </c>
      <c r="O1342">
        <v>-6.65</v>
      </c>
      <c r="P1342">
        <v>-1.23</v>
      </c>
      <c r="Q1342">
        <v>-12.5</v>
      </c>
      <c r="R1342">
        <v>-13.12</v>
      </c>
      <c r="S1342">
        <v>-11.02</v>
      </c>
      <c r="T1342">
        <v>12.41</v>
      </c>
      <c r="U1342">
        <v>2.71</v>
      </c>
      <c r="V1342">
        <v>2.8</v>
      </c>
      <c r="W1342">
        <v>4.71</v>
      </c>
      <c r="X1342">
        <v>2.2200000000000002</v>
      </c>
      <c r="Y1342">
        <v>2.12</v>
      </c>
      <c r="Z1342">
        <v>1.33</v>
      </c>
      <c r="AA1342">
        <v>2.4500000000000002</v>
      </c>
      <c r="AB1342">
        <v>0.44</v>
      </c>
      <c r="AC1342">
        <v>2.65</v>
      </c>
      <c r="AD1342">
        <v>5.91</v>
      </c>
      <c r="AE1342">
        <v>5.2</v>
      </c>
      <c r="AF1342">
        <v>2.996666666666667</v>
      </c>
      <c r="AG1342" t="str">
        <f>HYPERLINK("https://finance.naver.com/item/fchart.naver?code=282880", "코윈테크 차트보기")</f>
        <v>코윈테크 차트보기</v>
      </c>
    </row>
    <row r="1343" spans="1:33" x14ac:dyDescent="0.3">
      <c r="A1343" t="s">
        <v>5399</v>
      </c>
      <c r="B1343" t="s">
        <v>55</v>
      </c>
      <c r="C1343" t="s">
        <v>5400</v>
      </c>
      <c r="D1343">
        <v>30495.48</v>
      </c>
      <c r="E1343" t="s">
        <v>5401</v>
      </c>
      <c r="F1343">
        <v>0</v>
      </c>
      <c r="G1343">
        <v>1.809999942779541</v>
      </c>
      <c r="H1343">
        <v>0</v>
      </c>
      <c r="I1343">
        <v>0</v>
      </c>
      <c r="J1343" t="s">
        <v>5402</v>
      </c>
      <c r="K1343">
        <v>57800</v>
      </c>
      <c r="L1343">
        <v>25500</v>
      </c>
      <c r="M1343">
        <v>-55.88</v>
      </c>
      <c r="N1343">
        <v>-10.050000000000001</v>
      </c>
      <c r="O1343">
        <v>-7.2</v>
      </c>
      <c r="P1343">
        <v>0</v>
      </c>
      <c r="Q1343">
        <v>-6.66</v>
      </c>
      <c r="R1343">
        <v>-20.88</v>
      </c>
      <c r="S1343">
        <v>-33.22</v>
      </c>
      <c r="T1343">
        <v>3.29</v>
      </c>
      <c r="U1343">
        <v>3.22</v>
      </c>
      <c r="V1343">
        <v>3.06</v>
      </c>
      <c r="W1343">
        <v>5.38</v>
      </c>
      <c r="X1343">
        <v>3.79</v>
      </c>
      <c r="Y1343">
        <v>5.58</v>
      </c>
      <c r="Z1343">
        <v>3.05</v>
      </c>
      <c r="AA1343">
        <v>2.2400000000000002</v>
      </c>
      <c r="AB1343">
        <v>0</v>
      </c>
      <c r="AC1343">
        <v>1.24</v>
      </c>
      <c r="AD1343">
        <v>5.51</v>
      </c>
      <c r="AE1343">
        <v>5.95</v>
      </c>
      <c r="AF1343">
        <v>2.9983333333333331</v>
      </c>
      <c r="AG1343" t="str">
        <f>HYPERLINK("https://finance.naver.com/item/fchart.naver?code=299030", "하나기술 차트보기")</f>
        <v>하나기술 차트보기</v>
      </c>
    </row>
    <row r="1344" spans="1:33" x14ac:dyDescent="0.3">
      <c r="A1344" t="s">
        <v>5403</v>
      </c>
      <c r="B1344" t="s">
        <v>34</v>
      </c>
      <c r="C1344" t="s">
        <v>5404</v>
      </c>
      <c r="D1344">
        <v>332189.28999999998</v>
      </c>
      <c r="E1344" t="s">
        <v>5405</v>
      </c>
      <c r="F1344">
        <v>130.66999999999999</v>
      </c>
      <c r="G1344">
        <v>0.85000002384185791</v>
      </c>
      <c r="H1344">
        <v>30</v>
      </c>
      <c r="I1344">
        <v>0</v>
      </c>
      <c r="J1344" t="s">
        <v>5406</v>
      </c>
      <c r="K1344">
        <v>5600</v>
      </c>
      <c r="L1344">
        <v>3920</v>
      </c>
      <c r="M1344">
        <v>-30</v>
      </c>
      <c r="N1344">
        <v>-4.16</v>
      </c>
      <c r="O1344">
        <v>8.7200000000000006</v>
      </c>
      <c r="P1344">
        <v>-0.39</v>
      </c>
      <c r="Q1344">
        <v>-18.399999999999999</v>
      </c>
      <c r="R1344">
        <v>-3.43</v>
      </c>
      <c r="S1344">
        <v>-11.54</v>
      </c>
      <c r="T1344">
        <v>2.0299999999999998</v>
      </c>
      <c r="U1344">
        <v>1.84</v>
      </c>
      <c r="V1344">
        <v>4.6500000000000004</v>
      </c>
      <c r="W1344">
        <v>5.26</v>
      </c>
      <c r="X1344">
        <v>1.38</v>
      </c>
      <c r="Y1344">
        <v>2.25</v>
      </c>
      <c r="Z1344">
        <v>2.0499999999999998</v>
      </c>
      <c r="AA1344">
        <v>4.74</v>
      </c>
      <c r="AB1344">
        <v>0.08</v>
      </c>
      <c r="AC1344">
        <v>3.5</v>
      </c>
      <c r="AD1344">
        <v>2.4900000000000002</v>
      </c>
      <c r="AE1344">
        <v>5.13</v>
      </c>
      <c r="AF1344">
        <v>2.998333333333334</v>
      </c>
      <c r="AG1344" t="str">
        <f>HYPERLINK("https://finance.naver.com/item/fchart.naver?code=372910", "한컴라이프케어 차트보기")</f>
        <v>한컴라이프케어 차트보기</v>
      </c>
    </row>
    <row r="1345" spans="1:33" x14ac:dyDescent="0.3">
      <c r="A1345" t="s">
        <v>5407</v>
      </c>
      <c r="B1345" t="s">
        <v>55</v>
      </c>
      <c r="C1345" t="s">
        <v>5408</v>
      </c>
      <c r="D1345">
        <v>1864881.86</v>
      </c>
      <c r="E1345" t="s">
        <v>5409</v>
      </c>
      <c r="F1345">
        <v>0</v>
      </c>
      <c r="G1345">
        <v>2.809999942779541</v>
      </c>
      <c r="H1345">
        <v>0</v>
      </c>
      <c r="I1345">
        <v>0</v>
      </c>
      <c r="J1345" t="s">
        <v>5410</v>
      </c>
      <c r="K1345">
        <v>2840</v>
      </c>
      <c r="L1345">
        <v>6200</v>
      </c>
      <c r="M1345">
        <v>118.31</v>
      </c>
      <c r="N1345">
        <v>-7.05</v>
      </c>
      <c r="O1345">
        <v>62.78</v>
      </c>
      <c r="P1345">
        <v>3.55</v>
      </c>
      <c r="Q1345">
        <v>-13.44</v>
      </c>
      <c r="R1345">
        <v>16.670000000000002</v>
      </c>
      <c r="S1345">
        <v>-2.0699999999999998</v>
      </c>
      <c r="T1345">
        <v>11.58</v>
      </c>
      <c r="U1345">
        <v>7.14</v>
      </c>
      <c r="V1345">
        <v>2.7</v>
      </c>
      <c r="W1345">
        <v>5.67</v>
      </c>
      <c r="X1345">
        <v>3.99</v>
      </c>
      <c r="Y1345">
        <v>2.81</v>
      </c>
      <c r="Z1345">
        <v>0.61</v>
      </c>
      <c r="AA1345">
        <v>8.7899999999999991</v>
      </c>
      <c r="AB1345">
        <v>1.31</v>
      </c>
      <c r="AC1345">
        <v>2.37</v>
      </c>
      <c r="AD1345">
        <v>4.18</v>
      </c>
      <c r="AE1345">
        <v>0.74</v>
      </c>
      <c r="AF1345">
        <v>3</v>
      </c>
      <c r="AG1345" t="str">
        <f>HYPERLINK("https://finance.naver.com/item/fchart.naver?code=082800", "비보존 제약 차트보기")</f>
        <v>비보존 제약 차트보기</v>
      </c>
    </row>
    <row r="1346" spans="1:33" x14ac:dyDescent="0.3">
      <c r="A1346" t="s">
        <v>5411</v>
      </c>
      <c r="B1346" t="s">
        <v>34</v>
      </c>
      <c r="C1346" t="s">
        <v>5412</v>
      </c>
      <c r="D1346">
        <v>24550.9</v>
      </c>
      <c r="E1346" t="s">
        <v>5413</v>
      </c>
      <c r="F1346">
        <v>4.54</v>
      </c>
      <c r="G1346">
        <v>0.51999998092651367</v>
      </c>
      <c r="H1346">
        <v>1834</v>
      </c>
      <c r="I1346">
        <v>3</v>
      </c>
      <c r="J1346" t="s">
        <v>5414</v>
      </c>
      <c r="K1346">
        <v>8290</v>
      </c>
      <c r="L1346">
        <v>8330</v>
      </c>
      <c r="M1346">
        <v>0.48</v>
      </c>
      <c r="N1346">
        <v>-2.8</v>
      </c>
      <c r="O1346">
        <v>-1.27</v>
      </c>
      <c r="P1346">
        <v>3.07</v>
      </c>
      <c r="Q1346">
        <v>-14.9</v>
      </c>
      <c r="R1346">
        <v>5.5</v>
      </c>
      <c r="S1346">
        <v>9.8800000000000008</v>
      </c>
      <c r="T1346">
        <v>0.63</v>
      </c>
      <c r="U1346">
        <v>0.82</v>
      </c>
      <c r="V1346">
        <v>1.53</v>
      </c>
      <c r="W1346">
        <v>2.62</v>
      </c>
      <c r="X1346">
        <v>1.84</v>
      </c>
      <c r="Y1346">
        <v>7.49</v>
      </c>
      <c r="Z1346">
        <v>4.4400000000000004</v>
      </c>
      <c r="AA1346">
        <v>1.55</v>
      </c>
      <c r="AB1346">
        <v>2.0099999999999998</v>
      </c>
      <c r="AC1346">
        <v>5.69</v>
      </c>
      <c r="AD1346">
        <v>2.99</v>
      </c>
      <c r="AE1346">
        <v>1.32</v>
      </c>
      <c r="AF1346">
        <v>3</v>
      </c>
      <c r="AG1346" t="str">
        <f>HYPERLINK("https://finance.naver.com/item/fchart.naver?code=264900", "크라운제과 차트보기")</f>
        <v>크라운제과 차트보기</v>
      </c>
    </row>
    <row r="1347" spans="1:33" x14ac:dyDescent="0.3">
      <c r="A1347" t="s">
        <v>5415</v>
      </c>
      <c r="B1347" t="s">
        <v>55</v>
      </c>
      <c r="C1347" t="s">
        <v>5416</v>
      </c>
      <c r="D1347">
        <v>201320</v>
      </c>
      <c r="E1347" t="s">
        <v>5417</v>
      </c>
      <c r="F1347">
        <v>10.15</v>
      </c>
      <c r="G1347">
        <v>0.88999998569488525</v>
      </c>
      <c r="H1347">
        <v>472</v>
      </c>
      <c r="I1347">
        <v>0</v>
      </c>
      <c r="J1347" t="s">
        <v>5418</v>
      </c>
      <c r="K1347">
        <v>7840</v>
      </c>
      <c r="L1347">
        <v>4790</v>
      </c>
      <c r="M1347">
        <v>-38.9</v>
      </c>
      <c r="N1347">
        <v>-3.04</v>
      </c>
      <c r="O1347">
        <v>-6.13</v>
      </c>
      <c r="P1347">
        <v>-3.22</v>
      </c>
      <c r="Q1347">
        <v>-9.6</v>
      </c>
      <c r="R1347">
        <v>-6.87</v>
      </c>
      <c r="S1347">
        <v>-8.06</v>
      </c>
      <c r="T1347">
        <v>2.4900000000000002</v>
      </c>
      <c r="U1347">
        <v>1.73</v>
      </c>
      <c r="V1347">
        <v>2.11</v>
      </c>
      <c r="W1347">
        <v>4.72</v>
      </c>
      <c r="X1347">
        <v>1.51</v>
      </c>
      <c r="Y1347">
        <v>1.57</v>
      </c>
      <c r="Z1347">
        <v>1.22</v>
      </c>
      <c r="AA1347">
        <v>3.54</v>
      </c>
      <c r="AB1347">
        <v>1.53</v>
      </c>
      <c r="AC1347">
        <v>2.0299999999999998</v>
      </c>
      <c r="AD1347">
        <v>4.55</v>
      </c>
      <c r="AE1347">
        <v>5.13</v>
      </c>
      <c r="AF1347">
        <v>3</v>
      </c>
      <c r="AG1347" t="str">
        <f>HYPERLINK("https://finance.naver.com/item/fchart.naver?code=047310", "파워로직스 차트보기")</f>
        <v>파워로직스 차트보기</v>
      </c>
    </row>
    <row r="1348" spans="1:33" x14ac:dyDescent="0.3">
      <c r="A1348" t="s">
        <v>5419</v>
      </c>
      <c r="B1348" t="s">
        <v>34</v>
      </c>
      <c r="C1348" t="s">
        <v>5420</v>
      </c>
      <c r="D1348">
        <v>144966.38</v>
      </c>
      <c r="E1348" t="s">
        <v>5421</v>
      </c>
      <c r="J1348" t="s">
        <v>5422</v>
      </c>
      <c r="K1348">
        <v>4954</v>
      </c>
      <c r="L1348">
        <v>4340</v>
      </c>
      <c r="M1348">
        <v>-12.39</v>
      </c>
      <c r="N1348">
        <v>-5.14</v>
      </c>
      <c r="O1348">
        <v>-1.28</v>
      </c>
      <c r="P1348">
        <v>0.43</v>
      </c>
      <c r="Q1348">
        <v>-3.46</v>
      </c>
      <c r="R1348">
        <v>6.44</v>
      </c>
      <c r="S1348">
        <v>0.22</v>
      </c>
      <c r="T1348">
        <v>1.49</v>
      </c>
      <c r="U1348">
        <v>1.02</v>
      </c>
      <c r="V1348">
        <v>0.59</v>
      </c>
      <c r="W1348">
        <v>1.64</v>
      </c>
      <c r="X1348">
        <v>0.63</v>
      </c>
      <c r="Y1348">
        <v>0.87</v>
      </c>
      <c r="Z1348">
        <v>3.45</v>
      </c>
      <c r="AA1348">
        <v>1.25</v>
      </c>
      <c r="AB1348">
        <v>0.73</v>
      </c>
      <c r="AC1348">
        <v>2.11</v>
      </c>
      <c r="AD1348">
        <v>10.220000000000001</v>
      </c>
      <c r="AE1348">
        <v>0.25</v>
      </c>
      <c r="AF1348">
        <v>3.001666666666666</v>
      </c>
      <c r="AG1348" t="str">
        <f>HYPERLINK("https://finance.naver.com/item/fchart.naver?code=357120", "코람코라이프인프라리츠 차트보기")</f>
        <v>코람코라이프인프라리츠 차트보기</v>
      </c>
    </row>
    <row r="1349" spans="1:33" x14ac:dyDescent="0.3">
      <c r="A1349" t="s">
        <v>5423</v>
      </c>
      <c r="B1349" t="s">
        <v>34</v>
      </c>
      <c r="C1349" t="s">
        <v>5424</v>
      </c>
      <c r="D1349">
        <v>2868.76</v>
      </c>
      <c r="E1349" t="s">
        <v>5425</v>
      </c>
      <c r="F1349">
        <v>7.62</v>
      </c>
      <c r="G1349">
        <v>0.50999999046325684</v>
      </c>
      <c r="H1349">
        <v>718</v>
      </c>
      <c r="I1349">
        <v>4.570000171661377</v>
      </c>
      <c r="J1349" t="s">
        <v>5426</v>
      </c>
      <c r="K1349">
        <v>6250</v>
      </c>
      <c r="L1349">
        <v>5470</v>
      </c>
      <c r="M1349">
        <v>-12.48</v>
      </c>
      <c r="N1349">
        <v>-1.62</v>
      </c>
      <c r="O1349">
        <v>-5.38</v>
      </c>
      <c r="P1349">
        <v>-2.33</v>
      </c>
      <c r="Q1349">
        <v>7.75</v>
      </c>
      <c r="R1349">
        <v>-7.86</v>
      </c>
      <c r="S1349">
        <v>-1.94</v>
      </c>
      <c r="T1349">
        <v>0.99</v>
      </c>
      <c r="U1349">
        <v>0.94</v>
      </c>
      <c r="V1349">
        <v>0.99</v>
      </c>
      <c r="W1349">
        <v>4.46</v>
      </c>
      <c r="X1349">
        <v>1.95</v>
      </c>
      <c r="Y1349">
        <v>0.76</v>
      </c>
      <c r="Z1349">
        <v>1.64</v>
      </c>
      <c r="AA1349">
        <v>5.72</v>
      </c>
      <c r="AB1349">
        <v>2.35</v>
      </c>
      <c r="AC1349">
        <v>1.74</v>
      </c>
      <c r="AD1349">
        <v>4.03</v>
      </c>
      <c r="AE1349">
        <v>2.5499999999999998</v>
      </c>
      <c r="AF1349">
        <v>3.0049999999999999</v>
      </c>
      <c r="AG1349" t="str">
        <f>HYPERLINK("https://finance.naver.com/item/fchart.naver?code=023150", "MH에탄올 차트보기")</f>
        <v>MH에탄올 차트보기</v>
      </c>
    </row>
    <row r="1350" spans="1:33" x14ac:dyDescent="0.3">
      <c r="A1350" t="s">
        <v>5427</v>
      </c>
      <c r="B1350" t="s">
        <v>55</v>
      </c>
      <c r="C1350" t="s">
        <v>5428</v>
      </c>
      <c r="D1350">
        <v>14321.9</v>
      </c>
      <c r="E1350" t="s">
        <v>5429</v>
      </c>
      <c r="F1350">
        <v>0</v>
      </c>
      <c r="G1350">
        <v>1.120000004768372</v>
      </c>
      <c r="H1350">
        <v>0</v>
      </c>
      <c r="I1350">
        <v>0</v>
      </c>
      <c r="J1350" t="s">
        <v>5430</v>
      </c>
      <c r="K1350">
        <v>12850</v>
      </c>
      <c r="L1350">
        <v>7010</v>
      </c>
      <c r="M1350">
        <v>-45.45</v>
      </c>
      <c r="N1350">
        <v>-12.27</v>
      </c>
      <c r="O1350">
        <v>-6.53</v>
      </c>
      <c r="P1350">
        <v>-4.8899999999999997</v>
      </c>
      <c r="Q1350">
        <v>-14.18</v>
      </c>
      <c r="R1350">
        <v>7.03</v>
      </c>
      <c r="S1350">
        <v>-4.82</v>
      </c>
      <c r="T1350">
        <v>2.4900000000000002</v>
      </c>
      <c r="U1350">
        <v>1.79</v>
      </c>
      <c r="V1350">
        <v>1.55</v>
      </c>
      <c r="W1350">
        <v>5.35</v>
      </c>
      <c r="X1350">
        <v>6.84</v>
      </c>
      <c r="Y1350">
        <v>1.83</v>
      </c>
      <c r="Z1350">
        <v>4.93</v>
      </c>
      <c r="AA1350">
        <v>3.65</v>
      </c>
      <c r="AB1350">
        <v>3.15</v>
      </c>
      <c r="AC1350">
        <v>2.65</v>
      </c>
      <c r="AD1350">
        <v>1.03</v>
      </c>
      <c r="AE1350">
        <v>2.63</v>
      </c>
      <c r="AF1350">
        <v>3.0066666666666659</v>
      </c>
      <c r="AG1350" t="str">
        <f>HYPERLINK("https://finance.naver.com/item/fchart.naver?code=247660", "나노씨엠에스 차트보기")</f>
        <v>나노씨엠에스 차트보기</v>
      </c>
    </row>
    <row r="1351" spans="1:33" x14ac:dyDescent="0.3">
      <c r="A1351" t="s">
        <v>5431</v>
      </c>
      <c r="B1351" t="s">
        <v>55</v>
      </c>
      <c r="C1351" t="s">
        <v>5432</v>
      </c>
      <c r="D1351">
        <v>610707.29</v>
      </c>
      <c r="E1351" t="s">
        <v>5433</v>
      </c>
      <c r="F1351">
        <v>12.51</v>
      </c>
      <c r="G1351">
        <v>3.4500000476837158</v>
      </c>
      <c r="H1351">
        <v>349</v>
      </c>
      <c r="I1351">
        <v>0.23000000417232511</v>
      </c>
      <c r="J1351" t="s">
        <v>5434</v>
      </c>
      <c r="K1351">
        <v>4900</v>
      </c>
      <c r="L1351">
        <v>4365</v>
      </c>
      <c r="M1351">
        <v>-10.92</v>
      </c>
      <c r="N1351">
        <v>13.38</v>
      </c>
      <c r="O1351">
        <v>4.79</v>
      </c>
      <c r="P1351">
        <v>-11.79</v>
      </c>
      <c r="Q1351">
        <v>-12.85</v>
      </c>
      <c r="R1351">
        <v>9.61</v>
      </c>
      <c r="S1351">
        <v>8.85</v>
      </c>
      <c r="T1351">
        <v>3.29</v>
      </c>
      <c r="U1351">
        <v>3.55</v>
      </c>
      <c r="V1351">
        <v>3.21</v>
      </c>
      <c r="W1351">
        <v>4.41</v>
      </c>
      <c r="X1351">
        <v>3.48</v>
      </c>
      <c r="Y1351">
        <v>2.7</v>
      </c>
      <c r="Z1351">
        <v>4.07</v>
      </c>
      <c r="AA1351">
        <v>1.35</v>
      </c>
      <c r="AB1351">
        <v>3.67</v>
      </c>
      <c r="AC1351">
        <v>2.91</v>
      </c>
      <c r="AD1351">
        <v>2.76</v>
      </c>
      <c r="AE1351">
        <v>3.28</v>
      </c>
      <c r="AF1351">
        <v>3.0066666666666659</v>
      </c>
      <c r="AG1351" t="str">
        <f>HYPERLINK("https://finance.naver.com/item/fchart.naver?code=073010", "케이에스피 차트보기")</f>
        <v>케이에스피 차트보기</v>
      </c>
    </row>
    <row r="1352" spans="1:33" x14ac:dyDescent="0.3">
      <c r="A1352" t="s">
        <v>5435</v>
      </c>
      <c r="B1352" t="s">
        <v>55</v>
      </c>
      <c r="C1352" t="s">
        <v>5436</v>
      </c>
      <c r="D1352">
        <v>389836.95</v>
      </c>
      <c r="E1352" t="s">
        <v>5437</v>
      </c>
      <c r="F1352">
        <v>19.420000000000002</v>
      </c>
      <c r="G1352">
        <v>2.5199999809265141</v>
      </c>
      <c r="H1352">
        <v>2055</v>
      </c>
      <c r="I1352">
        <v>1.5</v>
      </c>
      <c r="J1352" t="s">
        <v>5438</v>
      </c>
      <c r="K1352">
        <v>54500</v>
      </c>
      <c r="L1352">
        <v>39900</v>
      </c>
      <c r="M1352">
        <v>-26.79</v>
      </c>
      <c r="N1352">
        <v>-20.99</v>
      </c>
      <c r="O1352">
        <v>12.64</v>
      </c>
      <c r="P1352">
        <v>-8.56</v>
      </c>
      <c r="Q1352">
        <v>1.1499999999999999</v>
      </c>
      <c r="R1352">
        <v>-19.91</v>
      </c>
      <c r="S1352">
        <v>25.67</v>
      </c>
      <c r="T1352">
        <v>5.12</v>
      </c>
      <c r="U1352">
        <v>3.81</v>
      </c>
      <c r="V1352">
        <v>5.41</v>
      </c>
      <c r="W1352">
        <v>6.65</v>
      </c>
      <c r="X1352">
        <v>4.71</v>
      </c>
      <c r="Y1352">
        <v>5.52</v>
      </c>
      <c r="Z1352">
        <v>4.0999999999999996</v>
      </c>
      <c r="AA1352">
        <v>3.32</v>
      </c>
      <c r="AB1352">
        <v>1.58</v>
      </c>
      <c r="AC1352">
        <v>0.17</v>
      </c>
      <c r="AD1352">
        <v>4.2300000000000004</v>
      </c>
      <c r="AE1352">
        <v>4.6500000000000004</v>
      </c>
      <c r="AF1352">
        <v>3.0083333333333329</v>
      </c>
      <c r="AG1352" t="str">
        <f>HYPERLINK("https://finance.naver.com/item/fchart.naver?code=031980", "피에스케이홀딩스 차트보기")</f>
        <v>피에스케이홀딩스 차트보기</v>
      </c>
    </row>
    <row r="1353" spans="1:33" x14ac:dyDescent="0.3">
      <c r="A1353" t="s">
        <v>5439</v>
      </c>
      <c r="B1353" t="s">
        <v>34</v>
      </c>
      <c r="C1353" t="s">
        <v>5440</v>
      </c>
      <c r="D1353">
        <v>30954.71</v>
      </c>
      <c r="E1353" t="s">
        <v>5441</v>
      </c>
      <c r="F1353">
        <v>6.37</v>
      </c>
      <c r="G1353">
        <v>1.580000042915344</v>
      </c>
      <c r="H1353">
        <v>15941</v>
      </c>
      <c r="I1353">
        <v>1.080000042915344</v>
      </c>
      <c r="J1353" t="s">
        <v>5442</v>
      </c>
      <c r="K1353">
        <v>103100</v>
      </c>
      <c r="L1353">
        <v>101600</v>
      </c>
      <c r="M1353">
        <v>-1.45</v>
      </c>
      <c r="N1353">
        <v>1.2</v>
      </c>
      <c r="O1353">
        <v>-6.46</v>
      </c>
      <c r="P1353">
        <v>-8.6199999999999992</v>
      </c>
      <c r="Q1353">
        <v>9.2200000000000006</v>
      </c>
      <c r="R1353">
        <v>14.24</v>
      </c>
      <c r="S1353">
        <v>-5.59</v>
      </c>
      <c r="T1353">
        <v>2.14</v>
      </c>
      <c r="U1353">
        <v>1.82</v>
      </c>
      <c r="V1353">
        <v>2.87</v>
      </c>
      <c r="W1353">
        <v>3.86</v>
      </c>
      <c r="X1353">
        <v>2.38</v>
      </c>
      <c r="Y1353">
        <v>2.17</v>
      </c>
      <c r="Z1353">
        <v>0.56000000000000005</v>
      </c>
      <c r="AA1353">
        <v>3.55</v>
      </c>
      <c r="AB1353">
        <v>3</v>
      </c>
      <c r="AC1353">
        <v>2.39</v>
      </c>
      <c r="AD1353">
        <v>5.98</v>
      </c>
      <c r="AE1353">
        <v>2.58</v>
      </c>
      <c r="AF1353">
        <v>3.01</v>
      </c>
      <c r="AG1353" t="str">
        <f>HYPERLINK("https://finance.naver.com/item/fchart.naver?code=185750", "종근당 차트보기")</f>
        <v>종근당 차트보기</v>
      </c>
    </row>
    <row r="1354" spans="1:33" x14ac:dyDescent="0.3">
      <c r="A1354" t="s">
        <v>5443</v>
      </c>
      <c r="B1354" t="s">
        <v>34</v>
      </c>
      <c r="C1354" t="s">
        <v>5444</v>
      </c>
      <c r="D1354">
        <v>200459.29</v>
      </c>
      <c r="E1354" t="s">
        <v>5445</v>
      </c>
      <c r="F1354">
        <v>4.7699999999999996</v>
      </c>
      <c r="G1354">
        <v>1.360000014305115</v>
      </c>
      <c r="H1354">
        <v>2909</v>
      </c>
      <c r="I1354">
        <v>0.72000002861022949</v>
      </c>
      <c r="J1354" t="s">
        <v>5446</v>
      </c>
      <c r="K1354">
        <v>14970</v>
      </c>
      <c r="L1354">
        <v>13890</v>
      </c>
      <c r="M1354">
        <v>-7.21</v>
      </c>
      <c r="N1354">
        <v>3.73</v>
      </c>
      <c r="O1354">
        <v>2.2599999999999998</v>
      </c>
      <c r="P1354">
        <v>14.51</v>
      </c>
      <c r="Q1354">
        <v>-11.97</v>
      </c>
      <c r="R1354">
        <v>-8.15</v>
      </c>
      <c r="S1354">
        <v>-3.94</v>
      </c>
      <c r="T1354">
        <v>1.92</v>
      </c>
      <c r="U1354">
        <v>2.76</v>
      </c>
      <c r="V1354">
        <v>3.18</v>
      </c>
      <c r="W1354">
        <v>4.09</v>
      </c>
      <c r="X1354">
        <v>1.52</v>
      </c>
      <c r="Y1354">
        <v>1.6</v>
      </c>
      <c r="Z1354">
        <v>1.94</v>
      </c>
      <c r="AA1354">
        <v>0.82</v>
      </c>
      <c r="AB1354">
        <v>4.5599999999999996</v>
      </c>
      <c r="AC1354">
        <v>2.93</v>
      </c>
      <c r="AD1354">
        <v>5.36</v>
      </c>
      <c r="AE1354">
        <v>2.46</v>
      </c>
      <c r="AF1354">
        <v>3.0116666666666672</v>
      </c>
      <c r="AG1354" t="str">
        <f>HYPERLINK("https://finance.naver.com/item/fchart.naver?code=009900", "명신산업 차트보기")</f>
        <v>명신산업 차트보기</v>
      </c>
    </row>
    <row r="1355" spans="1:33" x14ac:dyDescent="0.3">
      <c r="A1355" t="s">
        <v>5447</v>
      </c>
      <c r="B1355" t="s">
        <v>55</v>
      </c>
      <c r="C1355" t="s">
        <v>5448</v>
      </c>
      <c r="D1355">
        <v>284322.52</v>
      </c>
      <c r="E1355" t="s">
        <v>5449</v>
      </c>
      <c r="F1355">
        <v>0</v>
      </c>
      <c r="G1355">
        <v>1.4099999666213989</v>
      </c>
      <c r="H1355">
        <v>0</v>
      </c>
      <c r="I1355">
        <v>0</v>
      </c>
      <c r="J1355" t="s">
        <v>5450</v>
      </c>
      <c r="K1355">
        <v>9610</v>
      </c>
      <c r="L1355">
        <v>5170</v>
      </c>
      <c r="M1355">
        <v>-46.2</v>
      </c>
      <c r="N1355">
        <v>-5.14</v>
      </c>
      <c r="O1355">
        <v>-28.37</v>
      </c>
      <c r="P1355">
        <v>-23.49</v>
      </c>
      <c r="Q1355">
        <v>-4.78</v>
      </c>
      <c r="R1355">
        <v>18.02</v>
      </c>
      <c r="S1355">
        <v>7.63</v>
      </c>
      <c r="T1355">
        <v>3.61</v>
      </c>
      <c r="U1355">
        <v>4.2699999999999996</v>
      </c>
      <c r="V1355">
        <v>5.0599999999999996</v>
      </c>
      <c r="W1355">
        <v>6.51</v>
      </c>
      <c r="X1355">
        <v>5.21</v>
      </c>
      <c r="Y1355">
        <v>6.45</v>
      </c>
      <c r="Z1355">
        <v>1.42</v>
      </c>
      <c r="AA1355">
        <v>6.64</v>
      </c>
      <c r="AB1355">
        <v>4.6399999999999997</v>
      </c>
      <c r="AC1355">
        <v>0.73</v>
      </c>
      <c r="AD1355">
        <v>3.46</v>
      </c>
      <c r="AE1355">
        <v>1.18</v>
      </c>
      <c r="AF1355">
        <v>3.0116666666666672</v>
      </c>
      <c r="AG1355" t="str">
        <f>HYPERLINK("https://finance.naver.com/item/fchart.naver?code=059270", "해성에어로보틱스 차트보기")</f>
        <v>해성에어로보틱스 차트보기</v>
      </c>
    </row>
    <row r="1356" spans="1:33" x14ac:dyDescent="0.3">
      <c r="A1356" t="s">
        <v>5451</v>
      </c>
      <c r="B1356" t="s">
        <v>34</v>
      </c>
      <c r="C1356" t="s">
        <v>5452</v>
      </c>
      <c r="D1356">
        <v>86583.81</v>
      </c>
      <c r="E1356" t="s">
        <v>5453</v>
      </c>
      <c r="F1356">
        <v>13.53</v>
      </c>
      <c r="G1356">
        <v>1.8999999761581421</v>
      </c>
      <c r="H1356">
        <v>5756</v>
      </c>
      <c r="I1356">
        <v>0.38999998569488531</v>
      </c>
      <c r="J1356" t="s">
        <v>5454</v>
      </c>
      <c r="K1356">
        <v>65100</v>
      </c>
      <c r="L1356">
        <v>77900</v>
      </c>
      <c r="M1356">
        <v>19.66</v>
      </c>
      <c r="N1356">
        <v>-6.82</v>
      </c>
      <c r="O1356">
        <v>10.01</v>
      </c>
      <c r="P1356">
        <v>20.260000000000002</v>
      </c>
      <c r="Q1356">
        <v>1.93</v>
      </c>
      <c r="R1356">
        <v>6.33</v>
      </c>
      <c r="S1356">
        <v>1.1000000000000001</v>
      </c>
      <c r="T1356">
        <v>0.98</v>
      </c>
      <c r="U1356">
        <v>2.97</v>
      </c>
      <c r="V1356">
        <v>4.6900000000000004</v>
      </c>
      <c r="W1356">
        <v>3.02</v>
      </c>
      <c r="X1356">
        <v>2.58</v>
      </c>
      <c r="Y1356">
        <v>3.36</v>
      </c>
      <c r="Z1356">
        <v>6.96</v>
      </c>
      <c r="AA1356">
        <v>3.37</v>
      </c>
      <c r="AB1356">
        <v>4.32</v>
      </c>
      <c r="AC1356">
        <v>0.64</v>
      </c>
      <c r="AD1356">
        <v>2.4500000000000002</v>
      </c>
      <c r="AE1356">
        <v>0.33</v>
      </c>
      <c r="AF1356">
        <v>3.0116666666666672</v>
      </c>
      <c r="AG1356" t="str">
        <f>HYPERLINK("https://finance.naver.com/item/fchart.naver?code=180640", "한진칼 차트보기")</f>
        <v>한진칼 차트보기</v>
      </c>
    </row>
    <row r="1357" spans="1:33" x14ac:dyDescent="0.3">
      <c r="A1357" t="s">
        <v>5455</v>
      </c>
      <c r="B1357" t="s">
        <v>34</v>
      </c>
      <c r="C1357" t="s">
        <v>5456</v>
      </c>
      <c r="D1357">
        <v>8579.33</v>
      </c>
      <c r="E1357" t="s">
        <v>5457</v>
      </c>
      <c r="F1357">
        <v>9.2200000000000006</v>
      </c>
      <c r="G1357">
        <v>0.4699999988079071</v>
      </c>
      <c r="H1357">
        <v>5541</v>
      </c>
      <c r="I1357">
        <v>17.120000839233398</v>
      </c>
      <c r="J1357" t="s">
        <v>5458</v>
      </c>
      <c r="K1357">
        <v>42450</v>
      </c>
      <c r="L1357">
        <v>51100</v>
      </c>
      <c r="M1357">
        <v>20.38</v>
      </c>
      <c r="N1357">
        <v>1.19</v>
      </c>
      <c r="O1357">
        <v>12.83</v>
      </c>
      <c r="P1357">
        <v>2.23</v>
      </c>
      <c r="Q1357">
        <v>4.18</v>
      </c>
      <c r="R1357">
        <v>-1.1499999999999999</v>
      </c>
      <c r="S1357">
        <v>-5.27</v>
      </c>
      <c r="T1357">
        <v>1</v>
      </c>
      <c r="U1357">
        <v>1.54</v>
      </c>
      <c r="V1357">
        <v>1.22</v>
      </c>
      <c r="W1357">
        <v>1.67</v>
      </c>
      <c r="X1357">
        <v>0.84</v>
      </c>
      <c r="Y1357">
        <v>1.84</v>
      </c>
      <c r="Z1357">
        <v>1.19</v>
      </c>
      <c r="AA1357">
        <v>8.33</v>
      </c>
      <c r="AB1357">
        <v>1.83</v>
      </c>
      <c r="AC1357">
        <v>2.5</v>
      </c>
      <c r="AD1357">
        <v>1.37</v>
      </c>
      <c r="AE1357">
        <v>2.86</v>
      </c>
      <c r="AF1357">
        <v>3.0133333333333332</v>
      </c>
      <c r="AG1357" t="str">
        <f>HYPERLINK("https://finance.naver.com/item/fchart.naver?code=015360", "예스코홀딩스 차트보기")</f>
        <v>예스코홀딩스 차트보기</v>
      </c>
    </row>
    <row r="1358" spans="1:33" x14ac:dyDescent="0.3">
      <c r="A1358" t="s">
        <v>5459</v>
      </c>
      <c r="B1358" t="s">
        <v>55</v>
      </c>
      <c r="C1358" t="s">
        <v>5460</v>
      </c>
      <c r="D1358">
        <v>51455.05</v>
      </c>
      <c r="E1358" t="s">
        <v>5461</v>
      </c>
      <c r="F1358">
        <v>10.199999999999999</v>
      </c>
      <c r="G1358">
        <v>0.60000002384185791</v>
      </c>
      <c r="H1358">
        <v>501</v>
      </c>
      <c r="I1358">
        <v>1.7599999904632571</v>
      </c>
      <c r="J1358" t="s">
        <v>5462</v>
      </c>
      <c r="K1358">
        <v>5120</v>
      </c>
      <c r="L1358">
        <v>5110</v>
      </c>
      <c r="M1358">
        <v>-0.2</v>
      </c>
      <c r="N1358">
        <v>-5.37</v>
      </c>
      <c r="O1358">
        <v>4.2</v>
      </c>
      <c r="P1358">
        <v>1.76</v>
      </c>
      <c r="Q1358">
        <v>-5.54</v>
      </c>
      <c r="R1358">
        <v>24.37</v>
      </c>
      <c r="S1358">
        <v>-3.9</v>
      </c>
      <c r="T1358">
        <v>1.57</v>
      </c>
      <c r="U1358">
        <v>1.76</v>
      </c>
      <c r="V1358">
        <v>1.84</v>
      </c>
      <c r="W1358">
        <v>4.67</v>
      </c>
      <c r="X1358">
        <v>5.64</v>
      </c>
      <c r="Y1358">
        <v>0.67</v>
      </c>
      <c r="Z1358">
        <v>3.42</v>
      </c>
      <c r="AA1358">
        <v>2.39</v>
      </c>
      <c r="AB1358">
        <v>0.96</v>
      </c>
      <c r="AC1358">
        <v>1.19</v>
      </c>
      <c r="AD1358">
        <v>4.32</v>
      </c>
      <c r="AE1358">
        <v>5.82</v>
      </c>
      <c r="AF1358">
        <v>3.0166666666666671</v>
      </c>
      <c r="AG1358" t="str">
        <f>HYPERLINK("https://finance.naver.com/item/fchart.naver?code=066130", "하츠 차트보기")</f>
        <v>하츠 차트보기</v>
      </c>
    </row>
    <row r="1359" spans="1:33" x14ac:dyDescent="0.3">
      <c r="A1359" t="s">
        <v>5463</v>
      </c>
      <c r="B1359" t="s">
        <v>55</v>
      </c>
      <c r="C1359" t="s">
        <v>5464</v>
      </c>
      <c r="D1359">
        <v>13509.62</v>
      </c>
      <c r="E1359" t="s">
        <v>5465</v>
      </c>
      <c r="F1359">
        <v>59.04</v>
      </c>
      <c r="G1359">
        <v>0.54000002145767212</v>
      </c>
      <c r="H1359">
        <v>52</v>
      </c>
      <c r="I1359">
        <v>0.51999998092651367</v>
      </c>
      <c r="J1359" t="s">
        <v>5466</v>
      </c>
      <c r="K1359">
        <v>3620</v>
      </c>
      <c r="L1359">
        <v>3070</v>
      </c>
      <c r="M1359">
        <v>-15.19</v>
      </c>
      <c r="N1359">
        <v>-2.69</v>
      </c>
      <c r="O1359">
        <v>-3.01</v>
      </c>
      <c r="P1359">
        <v>-1.88</v>
      </c>
      <c r="Q1359">
        <v>-7.81</v>
      </c>
      <c r="R1359">
        <v>1.47</v>
      </c>
      <c r="S1359">
        <v>-13.94</v>
      </c>
      <c r="T1359">
        <v>1.95</v>
      </c>
      <c r="U1359">
        <v>1.1200000000000001</v>
      </c>
      <c r="V1359">
        <v>1.44</v>
      </c>
      <c r="W1359">
        <v>2.78</v>
      </c>
      <c r="X1359">
        <v>1.82</v>
      </c>
      <c r="Y1359">
        <v>1.53</v>
      </c>
      <c r="Z1359">
        <v>1.38</v>
      </c>
      <c r="AA1359">
        <v>2.69</v>
      </c>
      <c r="AB1359">
        <v>1.31</v>
      </c>
      <c r="AC1359">
        <v>2.81</v>
      </c>
      <c r="AD1359">
        <v>0.81</v>
      </c>
      <c r="AE1359">
        <v>9.11</v>
      </c>
      <c r="AF1359">
        <v>3.0183333333333331</v>
      </c>
      <c r="AG1359" t="str">
        <f>HYPERLINK("https://finance.naver.com/item/fchart.naver?code=376290", "씨유테크 차트보기")</f>
        <v>씨유테크 차트보기</v>
      </c>
    </row>
    <row r="1360" spans="1:33" x14ac:dyDescent="0.3">
      <c r="A1360" t="s">
        <v>5467</v>
      </c>
      <c r="B1360" t="s">
        <v>34</v>
      </c>
      <c r="C1360" t="s">
        <v>5468</v>
      </c>
      <c r="D1360">
        <v>546548.86</v>
      </c>
      <c r="E1360" t="s">
        <v>5469</v>
      </c>
      <c r="F1360">
        <v>128.97</v>
      </c>
      <c r="G1360">
        <v>1.690000057220459</v>
      </c>
      <c r="H1360">
        <v>116</v>
      </c>
      <c r="I1360">
        <v>0</v>
      </c>
      <c r="J1360" t="s">
        <v>5470</v>
      </c>
      <c r="K1360">
        <v>9170</v>
      </c>
      <c r="L1360">
        <v>14960</v>
      </c>
      <c r="M1360">
        <v>63.14</v>
      </c>
      <c r="N1360">
        <v>-2.35</v>
      </c>
      <c r="O1360">
        <v>3.63</v>
      </c>
      <c r="P1360">
        <v>44.23</v>
      </c>
      <c r="Q1360">
        <v>1.1299999999999999</v>
      </c>
      <c r="R1360">
        <v>16.55</v>
      </c>
      <c r="S1360">
        <v>1.85</v>
      </c>
      <c r="T1360">
        <v>3.44</v>
      </c>
      <c r="U1360">
        <v>3.49</v>
      </c>
      <c r="V1360">
        <v>4.71</v>
      </c>
      <c r="W1360">
        <v>5.74</v>
      </c>
      <c r="X1360">
        <v>2.74</v>
      </c>
      <c r="Y1360">
        <v>2.4500000000000002</v>
      </c>
      <c r="Z1360">
        <v>0.68</v>
      </c>
      <c r="AA1360">
        <v>1.04</v>
      </c>
      <c r="AB1360">
        <v>9.39</v>
      </c>
      <c r="AC1360">
        <v>0.2</v>
      </c>
      <c r="AD1360">
        <v>6.04</v>
      </c>
      <c r="AE1360">
        <v>0.76</v>
      </c>
      <c r="AF1360">
        <v>3.018333333333334</v>
      </c>
      <c r="AG1360" t="str">
        <f>HYPERLINK("https://finance.naver.com/item/fchart.naver?code=000520", "삼일제약 차트보기")</f>
        <v>삼일제약 차트보기</v>
      </c>
    </row>
    <row r="1361" spans="1:33" x14ac:dyDescent="0.3">
      <c r="A1361" t="s">
        <v>5471</v>
      </c>
      <c r="B1361" t="s">
        <v>34</v>
      </c>
      <c r="C1361" t="s">
        <v>5472</v>
      </c>
      <c r="D1361">
        <v>61338.14</v>
      </c>
      <c r="E1361" t="s">
        <v>5473</v>
      </c>
      <c r="F1361">
        <v>6.8</v>
      </c>
      <c r="G1361">
        <v>0.67000001668930054</v>
      </c>
      <c r="H1361">
        <v>3414</v>
      </c>
      <c r="I1361">
        <v>3.4500000476837158</v>
      </c>
      <c r="J1361" t="s">
        <v>5474</v>
      </c>
      <c r="K1361">
        <v>24450</v>
      </c>
      <c r="L1361">
        <v>23200</v>
      </c>
      <c r="M1361">
        <v>-5.1100000000000003</v>
      </c>
      <c r="N1361">
        <v>5.22</v>
      </c>
      <c r="O1361">
        <v>8.2100000000000009</v>
      </c>
      <c r="P1361">
        <v>-7</v>
      </c>
      <c r="Q1361">
        <v>1.36</v>
      </c>
      <c r="R1361">
        <v>-9.86</v>
      </c>
      <c r="S1361">
        <v>-9.17</v>
      </c>
      <c r="T1361">
        <v>1.79</v>
      </c>
      <c r="U1361">
        <v>2.13</v>
      </c>
      <c r="V1361">
        <v>2.08</v>
      </c>
      <c r="W1361">
        <v>3.03</v>
      </c>
      <c r="X1361">
        <v>2.4</v>
      </c>
      <c r="Y1361">
        <v>2.68</v>
      </c>
      <c r="Z1361">
        <v>2.92</v>
      </c>
      <c r="AA1361">
        <v>3.85</v>
      </c>
      <c r="AB1361">
        <v>3.37</v>
      </c>
      <c r="AC1361">
        <v>0.45</v>
      </c>
      <c r="AD1361">
        <v>4.1100000000000003</v>
      </c>
      <c r="AE1361">
        <v>3.42</v>
      </c>
      <c r="AF1361">
        <v>3.02</v>
      </c>
      <c r="AG1361" t="str">
        <f>HYPERLINK("https://finance.naver.com/item/fchart.naver?code=126720", "수산인더스트리 차트보기")</f>
        <v>수산인더스트리 차트보기</v>
      </c>
    </row>
    <row r="1362" spans="1:33" x14ac:dyDescent="0.3">
      <c r="A1362" t="s">
        <v>5475</v>
      </c>
      <c r="B1362" t="s">
        <v>55</v>
      </c>
      <c r="C1362" t="s">
        <v>5476</v>
      </c>
      <c r="D1362">
        <v>30205.29</v>
      </c>
      <c r="E1362" t="s">
        <v>5477</v>
      </c>
      <c r="F1362">
        <v>12.55</v>
      </c>
      <c r="G1362">
        <v>1.029999971389771</v>
      </c>
      <c r="H1362">
        <v>1355</v>
      </c>
      <c r="I1362">
        <v>2.059999942779541</v>
      </c>
      <c r="J1362" t="s">
        <v>5478</v>
      </c>
      <c r="K1362">
        <v>17580</v>
      </c>
      <c r="L1362">
        <v>17010</v>
      </c>
      <c r="M1362">
        <v>-3.24</v>
      </c>
      <c r="N1362">
        <v>6.58</v>
      </c>
      <c r="O1362">
        <v>-3.06</v>
      </c>
      <c r="P1362">
        <v>-2.44</v>
      </c>
      <c r="Q1362">
        <v>-14.25</v>
      </c>
      <c r="R1362">
        <v>-19.149999999999999</v>
      </c>
      <c r="S1362">
        <v>39.11</v>
      </c>
      <c r="T1362">
        <v>2.84</v>
      </c>
      <c r="U1362">
        <v>2.56</v>
      </c>
      <c r="V1362">
        <v>2.87</v>
      </c>
      <c r="W1362">
        <v>4.0999999999999996</v>
      </c>
      <c r="X1362">
        <v>5.24</v>
      </c>
      <c r="Y1362">
        <v>5.91</v>
      </c>
      <c r="Z1362">
        <v>2.3199999999999998</v>
      </c>
      <c r="AA1362">
        <v>1.2</v>
      </c>
      <c r="AB1362">
        <v>0.85</v>
      </c>
      <c r="AC1362">
        <v>3.48</v>
      </c>
      <c r="AD1362">
        <v>3.65</v>
      </c>
      <c r="AE1362">
        <v>6.62</v>
      </c>
      <c r="AF1362">
        <v>3.02</v>
      </c>
      <c r="AG1362" t="str">
        <f>HYPERLINK("https://finance.naver.com/item/fchart.naver?code=234340", "헥토파이낸셜 차트보기")</f>
        <v>헥토파이낸셜 차트보기</v>
      </c>
    </row>
    <row r="1363" spans="1:33" x14ac:dyDescent="0.3">
      <c r="A1363" t="s">
        <v>5479</v>
      </c>
      <c r="B1363" t="s">
        <v>55</v>
      </c>
      <c r="C1363" t="s">
        <v>5480</v>
      </c>
      <c r="D1363">
        <v>17042.05</v>
      </c>
      <c r="E1363" t="s">
        <v>5481</v>
      </c>
      <c r="F1363">
        <v>14.74</v>
      </c>
      <c r="G1363">
        <v>1.2699999809265139</v>
      </c>
      <c r="H1363">
        <v>378</v>
      </c>
      <c r="I1363">
        <v>3.9500000476837158</v>
      </c>
      <c r="J1363" t="s">
        <v>5482</v>
      </c>
      <c r="K1363">
        <v>7290</v>
      </c>
      <c r="L1363">
        <v>5570</v>
      </c>
      <c r="M1363">
        <v>-23.59</v>
      </c>
      <c r="N1363">
        <v>0.36</v>
      </c>
      <c r="O1363">
        <v>-3.81</v>
      </c>
      <c r="P1363">
        <v>-6.4</v>
      </c>
      <c r="Q1363">
        <v>-5.3</v>
      </c>
      <c r="R1363">
        <v>-1.35</v>
      </c>
      <c r="S1363">
        <v>-6.1</v>
      </c>
      <c r="T1363">
        <v>1.1599999999999999</v>
      </c>
      <c r="U1363">
        <v>0.76</v>
      </c>
      <c r="V1363">
        <v>2.4</v>
      </c>
      <c r="W1363">
        <v>2.58</v>
      </c>
      <c r="X1363">
        <v>1.25</v>
      </c>
      <c r="Y1363">
        <v>0.87</v>
      </c>
      <c r="Z1363">
        <v>0.31</v>
      </c>
      <c r="AA1363">
        <v>5.01</v>
      </c>
      <c r="AB1363">
        <v>2.67</v>
      </c>
      <c r="AC1363">
        <v>2.0499999999999998</v>
      </c>
      <c r="AD1363">
        <v>1.08</v>
      </c>
      <c r="AE1363">
        <v>7.01</v>
      </c>
      <c r="AF1363">
        <v>3.0216666666666669</v>
      </c>
      <c r="AG1363" t="str">
        <f>HYPERLINK("https://finance.naver.com/item/fchart.naver?code=347890", "엠투아이 차트보기")</f>
        <v>엠투아이 차트보기</v>
      </c>
    </row>
    <row r="1364" spans="1:33" x14ac:dyDescent="0.3">
      <c r="A1364" t="s">
        <v>5483</v>
      </c>
      <c r="B1364" t="s">
        <v>55</v>
      </c>
      <c r="C1364" t="s">
        <v>5484</v>
      </c>
      <c r="D1364">
        <v>89348.81</v>
      </c>
      <c r="E1364" t="s">
        <v>5485</v>
      </c>
      <c r="F1364">
        <v>0</v>
      </c>
      <c r="G1364">
        <v>1.7899999618530269</v>
      </c>
      <c r="H1364">
        <v>0</v>
      </c>
      <c r="I1364">
        <v>0</v>
      </c>
      <c r="J1364" t="s">
        <v>5486</v>
      </c>
      <c r="K1364">
        <v>4140</v>
      </c>
      <c r="L1364">
        <v>2775</v>
      </c>
      <c r="M1364">
        <v>-32.97</v>
      </c>
      <c r="N1364">
        <v>-3.31</v>
      </c>
      <c r="O1364">
        <v>-6.15</v>
      </c>
      <c r="P1364">
        <v>-9.24</v>
      </c>
      <c r="Q1364">
        <v>-3.74</v>
      </c>
      <c r="R1364">
        <v>22.7</v>
      </c>
      <c r="S1364">
        <v>-7.53</v>
      </c>
      <c r="T1364">
        <v>1.72</v>
      </c>
      <c r="U1364">
        <v>2.16</v>
      </c>
      <c r="V1364">
        <v>1.97</v>
      </c>
      <c r="W1364">
        <v>3.01</v>
      </c>
      <c r="X1364">
        <v>8.18</v>
      </c>
      <c r="Y1364">
        <v>1.62</v>
      </c>
      <c r="Z1364">
        <v>1.92</v>
      </c>
      <c r="AA1364">
        <v>2.85</v>
      </c>
      <c r="AB1364">
        <v>4.6900000000000004</v>
      </c>
      <c r="AC1364">
        <v>1.24</v>
      </c>
      <c r="AD1364">
        <v>2.78</v>
      </c>
      <c r="AE1364">
        <v>4.6500000000000004</v>
      </c>
      <c r="AF1364">
        <v>3.0216666666666669</v>
      </c>
      <c r="AG1364" t="str">
        <f>HYPERLINK("https://finance.naver.com/item/fchart.naver?code=046210", "HLB파나진 차트보기")</f>
        <v>HLB파나진 차트보기</v>
      </c>
    </row>
    <row r="1365" spans="1:33" x14ac:dyDescent="0.3">
      <c r="A1365" t="s">
        <v>5487</v>
      </c>
      <c r="B1365" t="s">
        <v>55</v>
      </c>
      <c r="C1365" t="s">
        <v>5488</v>
      </c>
      <c r="D1365">
        <v>973175.19</v>
      </c>
      <c r="E1365" t="s">
        <v>5489</v>
      </c>
      <c r="F1365">
        <v>14.67</v>
      </c>
      <c r="G1365">
        <v>1.440000057220459</v>
      </c>
      <c r="H1365">
        <v>430</v>
      </c>
      <c r="I1365">
        <v>0</v>
      </c>
      <c r="J1365" t="s">
        <v>5490</v>
      </c>
      <c r="K1365">
        <v>8630</v>
      </c>
      <c r="L1365">
        <v>6310</v>
      </c>
      <c r="M1365">
        <v>-26.88</v>
      </c>
      <c r="N1365">
        <v>-3.07</v>
      </c>
      <c r="O1365">
        <v>1.65</v>
      </c>
      <c r="P1365">
        <v>-14.71</v>
      </c>
      <c r="Q1365">
        <v>-5.15</v>
      </c>
      <c r="R1365">
        <v>-16.97</v>
      </c>
      <c r="S1365">
        <v>24.39</v>
      </c>
      <c r="T1365">
        <v>3.69</v>
      </c>
      <c r="U1365">
        <v>3.31</v>
      </c>
      <c r="V1365">
        <v>2.81</v>
      </c>
      <c r="W1365">
        <v>4.5</v>
      </c>
      <c r="X1365">
        <v>2.97</v>
      </c>
      <c r="Y1365">
        <v>5.16</v>
      </c>
      <c r="Z1365">
        <v>0.83</v>
      </c>
      <c r="AA1365">
        <v>0.5</v>
      </c>
      <c r="AB1365">
        <v>5.23</v>
      </c>
      <c r="AC1365">
        <v>1.1399999999999999</v>
      </c>
      <c r="AD1365">
        <v>5.71</v>
      </c>
      <c r="AE1365">
        <v>4.7300000000000004</v>
      </c>
      <c r="AF1365">
        <v>3.023333333333333</v>
      </c>
      <c r="AG1365" t="str">
        <f>HYPERLINK("https://finance.naver.com/item/fchart.naver?code=149980", "하이로닉 차트보기")</f>
        <v>하이로닉 차트보기</v>
      </c>
    </row>
    <row r="1366" spans="1:33" x14ac:dyDescent="0.3">
      <c r="A1366" t="s">
        <v>5491</v>
      </c>
      <c r="B1366" t="s">
        <v>55</v>
      </c>
      <c r="C1366" t="s">
        <v>5492</v>
      </c>
      <c r="D1366">
        <v>265171.95</v>
      </c>
      <c r="E1366" t="s">
        <v>5493</v>
      </c>
      <c r="F1366">
        <v>10.37</v>
      </c>
      <c r="G1366">
        <v>1.279999971389771</v>
      </c>
      <c r="H1366">
        <v>217</v>
      </c>
      <c r="I1366">
        <v>0</v>
      </c>
      <c r="J1366" t="s">
        <v>5494</v>
      </c>
      <c r="K1366">
        <v>3000</v>
      </c>
      <c r="L1366">
        <v>2250</v>
      </c>
      <c r="M1366">
        <v>-25</v>
      </c>
      <c r="N1366">
        <v>7.14</v>
      </c>
      <c r="O1366">
        <v>-12.24</v>
      </c>
      <c r="P1366">
        <v>-7.78</v>
      </c>
      <c r="Q1366">
        <v>0</v>
      </c>
      <c r="R1366">
        <v>-10.75</v>
      </c>
      <c r="S1366">
        <v>0.87</v>
      </c>
      <c r="T1366">
        <v>2.42</v>
      </c>
      <c r="U1366">
        <v>2.17</v>
      </c>
      <c r="V1366">
        <v>2.14</v>
      </c>
      <c r="W1366">
        <v>5.07</v>
      </c>
      <c r="X1366">
        <v>2.04</v>
      </c>
      <c r="Y1366">
        <v>1.37</v>
      </c>
      <c r="Z1366">
        <v>2.95</v>
      </c>
      <c r="AA1366">
        <v>5.64</v>
      </c>
      <c r="AB1366">
        <v>3.64</v>
      </c>
      <c r="AC1366">
        <v>0</v>
      </c>
      <c r="AD1366">
        <v>5.27</v>
      </c>
      <c r="AE1366">
        <v>0.64</v>
      </c>
      <c r="AF1366">
        <v>3.023333333333333</v>
      </c>
      <c r="AG1366" t="str">
        <f>HYPERLINK("https://finance.naver.com/item/fchart.naver?code=267320", "나인테크 차트보기")</f>
        <v>나인테크 차트보기</v>
      </c>
    </row>
    <row r="1367" spans="1:33" x14ac:dyDescent="0.3">
      <c r="A1367" t="s">
        <v>5495</v>
      </c>
      <c r="B1367" t="s">
        <v>55</v>
      </c>
      <c r="C1367" t="s">
        <v>5496</v>
      </c>
      <c r="D1367">
        <v>167471</v>
      </c>
      <c r="E1367" t="s">
        <v>5497</v>
      </c>
      <c r="F1367">
        <v>14.71</v>
      </c>
      <c r="G1367">
        <v>1.379999995231628</v>
      </c>
      <c r="H1367">
        <v>1451</v>
      </c>
      <c r="I1367">
        <v>0.27000001072883612</v>
      </c>
      <c r="J1367" t="s">
        <v>5498</v>
      </c>
      <c r="K1367">
        <v>35550</v>
      </c>
      <c r="L1367">
        <v>21350</v>
      </c>
      <c r="M1367">
        <v>-39.94</v>
      </c>
      <c r="N1367">
        <v>-9.92</v>
      </c>
      <c r="O1367">
        <v>-5.12</v>
      </c>
      <c r="P1367">
        <v>-4.84</v>
      </c>
      <c r="Q1367">
        <v>-11.56</v>
      </c>
      <c r="R1367">
        <v>-18.09</v>
      </c>
      <c r="S1367">
        <v>8.31</v>
      </c>
      <c r="T1367">
        <v>3.04</v>
      </c>
      <c r="U1367">
        <v>2.86</v>
      </c>
      <c r="V1367">
        <v>2.62</v>
      </c>
      <c r="W1367">
        <v>4.04</v>
      </c>
      <c r="X1367">
        <v>2.77</v>
      </c>
      <c r="Y1367">
        <v>4.4800000000000004</v>
      </c>
      <c r="Z1367">
        <v>3.26</v>
      </c>
      <c r="AA1367">
        <v>1.79</v>
      </c>
      <c r="AB1367">
        <v>1.85</v>
      </c>
      <c r="AC1367">
        <v>2.86</v>
      </c>
      <c r="AD1367">
        <v>6.53</v>
      </c>
      <c r="AE1367">
        <v>1.85</v>
      </c>
      <c r="AF1367">
        <v>3.023333333333333</v>
      </c>
      <c r="AG1367" t="str">
        <f>HYPERLINK("https://finance.naver.com/item/fchart.naver?code=074600", "원익QnC 차트보기")</f>
        <v>원익QnC 차트보기</v>
      </c>
    </row>
    <row r="1368" spans="1:33" x14ac:dyDescent="0.3">
      <c r="A1368" t="s">
        <v>5499</v>
      </c>
      <c r="B1368" t="s">
        <v>34</v>
      </c>
      <c r="C1368" t="s">
        <v>5500</v>
      </c>
      <c r="D1368">
        <v>16659.48</v>
      </c>
      <c r="E1368" t="s">
        <v>5501</v>
      </c>
      <c r="F1368">
        <v>40.15</v>
      </c>
      <c r="G1368">
        <v>1.2699999809265139</v>
      </c>
      <c r="H1368">
        <v>343</v>
      </c>
      <c r="I1368">
        <v>0.36000001430511469</v>
      </c>
      <c r="J1368" t="s">
        <v>5502</v>
      </c>
      <c r="K1368">
        <v>17170</v>
      </c>
      <c r="L1368">
        <v>13770</v>
      </c>
      <c r="M1368">
        <v>-19.8</v>
      </c>
      <c r="N1368">
        <v>-1.92</v>
      </c>
      <c r="O1368">
        <v>-4.62</v>
      </c>
      <c r="P1368">
        <v>-2.16</v>
      </c>
      <c r="Q1368">
        <v>0</v>
      </c>
      <c r="R1368">
        <v>0.79</v>
      </c>
      <c r="S1368">
        <v>-4.59</v>
      </c>
      <c r="T1368">
        <v>0.63</v>
      </c>
      <c r="U1368">
        <v>1.1399999999999999</v>
      </c>
      <c r="V1368">
        <v>2.2000000000000002</v>
      </c>
      <c r="W1368">
        <v>3.47</v>
      </c>
      <c r="X1368">
        <v>1.1100000000000001</v>
      </c>
      <c r="Y1368">
        <v>0.49</v>
      </c>
      <c r="Z1368">
        <v>3.05</v>
      </c>
      <c r="AA1368">
        <v>4.05</v>
      </c>
      <c r="AB1368">
        <v>0.98</v>
      </c>
      <c r="AC1368">
        <v>0</v>
      </c>
      <c r="AD1368">
        <v>0.71</v>
      </c>
      <c r="AE1368">
        <v>9.3699999999999992</v>
      </c>
      <c r="AF1368">
        <v>3.026666666666666</v>
      </c>
      <c r="AG1368" t="str">
        <f>HYPERLINK("https://finance.naver.com/item/fchart.naver?code=271980", "제일약품 차트보기")</f>
        <v>제일약품 차트보기</v>
      </c>
    </row>
    <row r="1369" spans="1:33" x14ac:dyDescent="0.3">
      <c r="A1369" t="s">
        <v>5503</v>
      </c>
      <c r="B1369" t="s">
        <v>55</v>
      </c>
      <c r="C1369" t="s">
        <v>5504</v>
      </c>
      <c r="D1369">
        <v>28171.38</v>
      </c>
      <c r="E1369" t="s">
        <v>5505</v>
      </c>
      <c r="F1369">
        <v>0</v>
      </c>
      <c r="G1369">
        <v>0.40000000596046448</v>
      </c>
      <c r="H1369">
        <v>0</v>
      </c>
      <c r="I1369">
        <v>0</v>
      </c>
      <c r="J1369" t="s">
        <v>5506</v>
      </c>
      <c r="K1369">
        <v>1772</v>
      </c>
      <c r="L1369">
        <v>1536</v>
      </c>
      <c r="M1369">
        <v>-13.32</v>
      </c>
      <c r="N1369">
        <v>-3.27</v>
      </c>
      <c r="O1369">
        <v>-1.69</v>
      </c>
      <c r="P1369">
        <v>0.12</v>
      </c>
      <c r="Q1369">
        <v>7.73</v>
      </c>
      <c r="R1369">
        <v>-7.16</v>
      </c>
      <c r="S1369">
        <v>-6.8</v>
      </c>
      <c r="T1369">
        <v>1.35</v>
      </c>
      <c r="U1369">
        <v>1.1200000000000001</v>
      </c>
      <c r="V1369">
        <v>1.07</v>
      </c>
      <c r="W1369">
        <v>2.12</v>
      </c>
      <c r="X1369">
        <v>1.17</v>
      </c>
      <c r="Y1369">
        <v>1.56</v>
      </c>
      <c r="Z1369">
        <v>2.42</v>
      </c>
      <c r="AA1369">
        <v>1.51</v>
      </c>
      <c r="AB1369">
        <v>0.11</v>
      </c>
      <c r="AC1369">
        <v>3.65</v>
      </c>
      <c r="AD1369">
        <v>6.12</v>
      </c>
      <c r="AE1369">
        <v>4.3600000000000003</v>
      </c>
      <c r="AF1369">
        <v>3.0283333333333329</v>
      </c>
      <c r="AG1369" t="str">
        <f>HYPERLINK("https://finance.naver.com/item/fchart.naver?code=050760", "에스폴리텍 차트보기")</f>
        <v>에스폴리텍 차트보기</v>
      </c>
    </row>
    <row r="1370" spans="1:33" x14ac:dyDescent="0.3">
      <c r="A1370" t="s">
        <v>5507</v>
      </c>
      <c r="B1370" t="s">
        <v>55</v>
      </c>
      <c r="C1370" t="s">
        <v>5508</v>
      </c>
      <c r="D1370">
        <v>1638181.33</v>
      </c>
      <c r="E1370" t="s">
        <v>5509</v>
      </c>
      <c r="F1370">
        <v>23.39</v>
      </c>
      <c r="G1370">
        <v>1.559999942779541</v>
      </c>
      <c r="H1370">
        <v>84</v>
      </c>
      <c r="I1370">
        <v>0</v>
      </c>
      <c r="J1370" t="s">
        <v>5510</v>
      </c>
      <c r="K1370">
        <v>2945</v>
      </c>
      <c r="L1370">
        <v>1965</v>
      </c>
      <c r="M1370">
        <v>-33.28</v>
      </c>
      <c r="N1370">
        <v>-3.44</v>
      </c>
      <c r="O1370">
        <v>-6.59</v>
      </c>
      <c r="P1370">
        <v>1.58</v>
      </c>
      <c r="Q1370">
        <v>5.56</v>
      </c>
      <c r="R1370">
        <v>-16.14</v>
      </c>
      <c r="S1370">
        <v>-8.15</v>
      </c>
      <c r="T1370">
        <v>1.37</v>
      </c>
      <c r="U1370">
        <v>4.42</v>
      </c>
      <c r="V1370">
        <v>4.59</v>
      </c>
      <c r="W1370">
        <v>8.84</v>
      </c>
      <c r="X1370">
        <v>2.2799999999999998</v>
      </c>
      <c r="Y1370">
        <v>1.33</v>
      </c>
      <c r="Z1370">
        <v>2.5099999999999998</v>
      </c>
      <c r="AA1370">
        <v>1.49</v>
      </c>
      <c r="AB1370">
        <v>0.34</v>
      </c>
      <c r="AC1370">
        <v>0.63</v>
      </c>
      <c r="AD1370">
        <v>7.08</v>
      </c>
      <c r="AE1370">
        <v>6.13</v>
      </c>
      <c r="AF1370">
        <v>3.03</v>
      </c>
      <c r="AG1370" t="str">
        <f>HYPERLINK("https://finance.naver.com/item/fchart.naver?code=419050", "삼기이브이 차트보기")</f>
        <v>삼기이브이 차트보기</v>
      </c>
    </row>
    <row r="1371" spans="1:33" x14ac:dyDescent="0.3">
      <c r="A1371" t="s">
        <v>5511</v>
      </c>
      <c r="B1371" t="s">
        <v>55</v>
      </c>
      <c r="C1371" t="s">
        <v>5512</v>
      </c>
      <c r="D1371">
        <v>5594.81</v>
      </c>
      <c r="E1371" t="s">
        <v>5513</v>
      </c>
      <c r="F1371">
        <v>0</v>
      </c>
      <c r="G1371">
        <v>0.2199999988079071</v>
      </c>
      <c r="H1371">
        <v>0</v>
      </c>
      <c r="I1371">
        <v>0</v>
      </c>
      <c r="J1371" t="s">
        <v>5514</v>
      </c>
      <c r="K1371">
        <v>4455</v>
      </c>
      <c r="L1371">
        <v>4505</v>
      </c>
      <c r="M1371">
        <v>1.1200000000000001</v>
      </c>
      <c r="N1371">
        <v>1.58</v>
      </c>
      <c r="O1371">
        <v>-2.02</v>
      </c>
      <c r="P1371">
        <v>3.36</v>
      </c>
      <c r="Q1371">
        <v>-6.35</v>
      </c>
      <c r="R1371">
        <v>8.2100000000000009</v>
      </c>
      <c r="S1371">
        <v>-8.42</v>
      </c>
      <c r="T1371">
        <v>0.68</v>
      </c>
      <c r="U1371">
        <v>1.71</v>
      </c>
      <c r="V1371">
        <v>3</v>
      </c>
      <c r="W1371">
        <v>2.92</v>
      </c>
      <c r="X1371">
        <v>2.15</v>
      </c>
      <c r="Y1371">
        <v>1.1100000000000001</v>
      </c>
      <c r="Z1371">
        <v>2.3199999999999998</v>
      </c>
      <c r="AA1371">
        <v>1.18</v>
      </c>
      <c r="AB1371">
        <v>1.1200000000000001</v>
      </c>
      <c r="AC1371">
        <v>2.17</v>
      </c>
      <c r="AD1371">
        <v>3.82</v>
      </c>
      <c r="AE1371">
        <v>7.59</v>
      </c>
      <c r="AF1371">
        <v>3.0333333333333332</v>
      </c>
      <c r="AG1371" t="str">
        <f>HYPERLINK("https://finance.naver.com/item/fchart.naver?code=007680", "대원 차트보기")</f>
        <v>대원 차트보기</v>
      </c>
    </row>
    <row r="1372" spans="1:33" x14ac:dyDescent="0.3">
      <c r="A1372" t="s">
        <v>5515</v>
      </c>
      <c r="B1372" t="s">
        <v>34</v>
      </c>
      <c r="C1372" t="s">
        <v>5516</v>
      </c>
      <c r="D1372">
        <v>29253.71</v>
      </c>
      <c r="E1372" t="s">
        <v>5517</v>
      </c>
      <c r="F1372">
        <v>708.46</v>
      </c>
      <c r="G1372">
        <v>0.31999999284744263</v>
      </c>
      <c r="H1372">
        <v>13</v>
      </c>
      <c r="I1372">
        <v>4.3400001525878906</v>
      </c>
      <c r="J1372" t="s">
        <v>5518</v>
      </c>
      <c r="K1372">
        <v>8390</v>
      </c>
      <c r="L1372">
        <v>9210</v>
      </c>
      <c r="M1372">
        <v>9.77</v>
      </c>
      <c r="N1372">
        <v>3.72</v>
      </c>
      <c r="O1372">
        <v>-2.9</v>
      </c>
      <c r="P1372">
        <v>-10.46</v>
      </c>
      <c r="Q1372">
        <v>4.17</v>
      </c>
      <c r="R1372">
        <v>-17.91</v>
      </c>
      <c r="S1372">
        <v>47</v>
      </c>
      <c r="T1372">
        <v>2.0699999999999998</v>
      </c>
      <c r="U1372">
        <v>1.1299999999999999</v>
      </c>
      <c r="V1372">
        <v>2.65</v>
      </c>
      <c r="W1372">
        <v>4.6900000000000004</v>
      </c>
      <c r="X1372">
        <v>3.76</v>
      </c>
      <c r="Y1372">
        <v>11.1</v>
      </c>
      <c r="Z1372">
        <v>1.8</v>
      </c>
      <c r="AA1372">
        <v>2.57</v>
      </c>
      <c r="AB1372">
        <v>3.95</v>
      </c>
      <c r="AC1372">
        <v>0.89</v>
      </c>
      <c r="AD1372">
        <v>4.76</v>
      </c>
      <c r="AE1372">
        <v>4.2300000000000004</v>
      </c>
      <c r="AF1372">
        <v>3.0333333333333341</v>
      </c>
      <c r="AG1372" t="str">
        <f>HYPERLINK("https://finance.naver.com/item/fchart.naver?code=003070", "코오롱글로벌 차트보기")</f>
        <v>코오롱글로벌 차트보기</v>
      </c>
    </row>
    <row r="1373" spans="1:33" x14ac:dyDescent="0.3">
      <c r="A1373" t="s">
        <v>5519</v>
      </c>
      <c r="B1373" t="s">
        <v>34</v>
      </c>
      <c r="C1373" t="s">
        <v>5520</v>
      </c>
      <c r="D1373">
        <v>291170.43</v>
      </c>
      <c r="E1373" t="s">
        <v>5521</v>
      </c>
      <c r="F1373">
        <v>17.79</v>
      </c>
      <c r="G1373">
        <v>0.74000000953674316</v>
      </c>
      <c r="H1373">
        <v>17086</v>
      </c>
      <c r="I1373">
        <v>1.1499999761581421</v>
      </c>
      <c r="J1373" t="s">
        <v>5522</v>
      </c>
      <c r="K1373">
        <v>404000</v>
      </c>
      <c r="L1373">
        <v>304000</v>
      </c>
      <c r="M1373">
        <v>-24.75</v>
      </c>
      <c r="N1373">
        <v>-4.4000000000000004</v>
      </c>
      <c r="O1373">
        <v>-11.32</v>
      </c>
      <c r="P1373">
        <v>4.8499999999999996</v>
      </c>
      <c r="Q1373">
        <v>2.39</v>
      </c>
      <c r="R1373">
        <v>-14.06</v>
      </c>
      <c r="S1373">
        <v>-3.36</v>
      </c>
      <c r="T1373">
        <v>2.2599999999999998</v>
      </c>
      <c r="U1373">
        <v>2.42</v>
      </c>
      <c r="V1373">
        <v>2.89</v>
      </c>
      <c r="W1373">
        <v>3.74</v>
      </c>
      <c r="X1373">
        <v>1.91</v>
      </c>
      <c r="Y1373">
        <v>1.78</v>
      </c>
      <c r="Z1373">
        <v>1.95</v>
      </c>
      <c r="AA1373">
        <v>4.68</v>
      </c>
      <c r="AB1373">
        <v>1.68</v>
      </c>
      <c r="AC1373">
        <v>0.64</v>
      </c>
      <c r="AD1373">
        <v>7.36</v>
      </c>
      <c r="AE1373">
        <v>1.89</v>
      </c>
      <c r="AF1373">
        <v>3.0333333333333341</v>
      </c>
      <c r="AG1373" t="str">
        <f>HYPERLINK("https://finance.naver.com/item/fchart.naver?code=051910", "LG화학 차트보기")</f>
        <v>LG화학 차트보기</v>
      </c>
    </row>
    <row r="1374" spans="1:33" x14ac:dyDescent="0.3">
      <c r="A1374" t="s">
        <v>5523</v>
      </c>
      <c r="B1374" t="s">
        <v>55</v>
      </c>
      <c r="C1374" t="s">
        <v>5524</v>
      </c>
      <c r="D1374">
        <v>30949.24</v>
      </c>
      <c r="E1374" t="s">
        <v>5525</v>
      </c>
      <c r="F1374">
        <v>379.33</v>
      </c>
      <c r="G1374">
        <v>2.4800000190734859</v>
      </c>
      <c r="H1374">
        <v>30</v>
      </c>
      <c r="I1374">
        <v>0</v>
      </c>
      <c r="J1374" t="s">
        <v>5526</v>
      </c>
      <c r="K1374">
        <v>13110</v>
      </c>
      <c r="L1374">
        <v>11380</v>
      </c>
      <c r="M1374">
        <v>-13.2</v>
      </c>
      <c r="N1374">
        <v>11.13</v>
      </c>
      <c r="O1374">
        <v>22.63</v>
      </c>
      <c r="P1374">
        <v>-21.08</v>
      </c>
      <c r="Q1374">
        <v>0</v>
      </c>
      <c r="R1374">
        <v>-5.18</v>
      </c>
      <c r="S1374">
        <v>-6.21</v>
      </c>
      <c r="T1374">
        <v>6.59</v>
      </c>
      <c r="U1374">
        <v>4.13</v>
      </c>
      <c r="V1374">
        <v>3.23</v>
      </c>
      <c r="W1374">
        <v>4.21</v>
      </c>
      <c r="X1374">
        <v>2.66</v>
      </c>
      <c r="Y1374">
        <v>2.4300000000000002</v>
      </c>
      <c r="Z1374">
        <v>1.69</v>
      </c>
      <c r="AA1374">
        <v>5.48</v>
      </c>
      <c r="AB1374">
        <v>6.53</v>
      </c>
      <c r="AC1374">
        <v>0</v>
      </c>
      <c r="AD1374">
        <v>1.95</v>
      </c>
      <c r="AE1374">
        <v>2.56</v>
      </c>
      <c r="AF1374">
        <v>3.0350000000000001</v>
      </c>
      <c r="AG1374" t="str">
        <f>HYPERLINK("https://finance.naver.com/item/fchart.naver?code=419080", "엔젯 차트보기")</f>
        <v>엔젯 차트보기</v>
      </c>
    </row>
    <row r="1375" spans="1:33" x14ac:dyDescent="0.3">
      <c r="A1375" t="s">
        <v>5527</v>
      </c>
      <c r="B1375" t="s">
        <v>55</v>
      </c>
      <c r="C1375" t="s">
        <v>5528</v>
      </c>
      <c r="D1375">
        <v>97183.57</v>
      </c>
      <c r="E1375" t="s">
        <v>5529</v>
      </c>
      <c r="F1375">
        <v>0</v>
      </c>
      <c r="G1375">
        <v>14.260000228881839</v>
      </c>
      <c r="H1375">
        <v>0</v>
      </c>
      <c r="I1375">
        <v>0</v>
      </c>
      <c r="J1375" t="s">
        <v>5530</v>
      </c>
      <c r="K1375">
        <v>18500</v>
      </c>
      <c r="L1375">
        <v>10550</v>
      </c>
      <c r="M1375">
        <v>-42.97</v>
      </c>
      <c r="N1375">
        <v>-4.78</v>
      </c>
      <c r="O1375">
        <v>-11.74</v>
      </c>
      <c r="P1375">
        <v>-3.81</v>
      </c>
      <c r="Q1375">
        <v>11.6</v>
      </c>
      <c r="R1375">
        <v>-16.89</v>
      </c>
      <c r="S1375">
        <v>-24.05</v>
      </c>
      <c r="T1375">
        <v>3.05</v>
      </c>
      <c r="U1375">
        <v>3.04</v>
      </c>
      <c r="V1375">
        <v>4.78</v>
      </c>
      <c r="W1375">
        <v>5.22</v>
      </c>
      <c r="X1375">
        <v>3.82</v>
      </c>
      <c r="Y1375">
        <v>4.5</v>
      </c>
      <c r="Z1375">
        <v>1.57</v>
      </c>
      <c r="AA1375">
        <v>3.86</v>
      </c>
      <c r="AB1375">
        <v>0.8</v>
      </c>
      <c r="AC1375">
        <v>2.2200000000000002</v>
      </c>
      <c r="AD1375">
        <v>4.42</v>
      </c>
      <c r="AE1375">
        <v>5.34</v>
      </c>
      <c r="AF1375">
        <v>3.0350000000000001</v>
      </c>
      <c r="AG1375" t="str">
        <f>HYPERLINK("https://finance.naver.com/item/fchart.naver?code=458870", "씨어스테크놀로지 차트보기")</f>
        <v>씨어스테크놀로지 차트보기</v>
      </c>
    </row>
    <row r="1376" spans="1:33" x14ac:dyDescent="0.3">
      <c r="A1376" t="s">
        <v>5531</v>
      </c>
      <c r="B1376" t="s">
        <v>55</v>
      </c>
      <c r="C1376" t="s">
        <v>5532</v>
      </c>
      <c r="D1376">
        <v>273807.14</v>
      </c>
      <c r="E1376" t="s">
        <v>5533</v>
      </c>
      <c r="F1376">
        <v>25.57</v>
      </c>
      <c r="G1376">
        <v>2.7300000190734859</v>
      </c>
      <c r="H1376">
        <v>345</v>
      </c>
      <c r="I1376">
        <v>0</v>
      </c>
      <c r="J1376" t="s">
        <v>5534</v>
      </c>
      <c r="K1376">
        <v>9990</v>
      </c>
      <c r="L1376">
        <v>8820</v>
      </c>
      <c r="M1376">
        <v>-11.71</v>
      </c>
      <c r="N1376">
        <v>6.14</v>
      </c>
      <c r="O1376">
        <v>-19.829999999999998</v>
      </c>
      <c r="P1376">
        <v>-20.57</v>
      </c>
      <c r="Q1376">
        <v>17.600000000000001</v>
      </c>
      <c r="R1376">
        <v>8.9700000000000006</v>
      </c>
      <c r="S1376">
        <v>1.34</v>
      </c>
      <c r="T1376">
        <v>5.18</v>
      </c>
      <c r="U1376">
        <v>2.4</v>
      </c>
      <c r="V1376">
        <v>4.5199999999999996</v>
      </c>
      <c r="W1376">
        <v>6.09</v>
      </c>
      <c r="X1376">
        <v>8.02</v>
      </c>
      <c r="Y1376">
        <v>6.76</v>
      </c>
      <c r="Z1376">
        <v>1.19</v>
      </c>
      <c r="AA1376">
        <v>8.26</v>
      </c>
      <c r="AB1376">
        <v>4.55</v>
      </c>
      <c r="AC1376">
        <v>2.89</v>
      </c>
      <c r="AD1376">
        <v>1.1200000000000001</v>
      </c>
      <c r="AE1376">
        <v>0.2</v>
      </c>
      <c r="AF1376">
        <v>3.0350000000000001</v>
      </c>
      <c r="AG1376" t="str">
        <f>HYPERLINK("https://finance.naver.com/item/fchart.naver?code=452280", "한선엔지니어링 차트보기")</f>
        <v>한선엔지니어링 차트보기</v>
      </c>
    </row>
    <row r="1377" spans="1:33" x14ac:dyDescent="0.3">
      <c r="A1377" t="s">
        <v>5535</v>
      </c>
      <c r="B1377" t="s">
        <v>34</v>
      </c>
      <c r="C1377" t="s">
        <v>5536</v>
      </c>
      <c r="D1377">
        <v>34366.239999999998</v>
      </c>
      <c r="E1377" t="s">
        <v>5537</v>
      </c>
      <c r="F1377">
        <v>4.5599999999999996</v>
      </c>
      <c r="G1377">
        <v>0.34000000357627869</v>
      </c>
      <c r="H1377">
        <v>2728</v>
      </c>
      <c r="I1377">
        <v>6.429999828338623</v>
      </c>
      <c r="J1377" t="s">
        <v>5538</v>
      </c>
      <c r="K1377">
        <v>10790</v>
      </c>
      <c r="L1377">
        <v>12450</v>
      </c>
      <c r="M1377">
        <v>15.38</v>
      </c>
      <c r="N1377">
        <v>1.06</v>
      </c>
      <c r="O1377">
        <v>-4.5599999999999996</v>
      </c>
      <c r="P1377">
        <v>-15.81</v>
      </c>
      <c r="Q1377">
        <v>-2.42</v>
      </c>
      <c r="R1377">
        <v>36.270000000000003</v>
      </c>
      <c r="S1377">
        <v>0</v>
      </c>
      <c r="T1377">
        <v>1.22</v>
      </c>
      <c r="U1377">
        <v>1.22</v>
      </c>
      <c r="V1377">
        <v>3.75</v>
      </c>
      <c r="W1377">
        <v>4.4800000000000004</v>
      </c>
      <c r="X1377">
        <v>4.0999999999999996</v>
      </c>
      <c r="Y1377">
        <v>0.91</v>
      </c>
      <c r="Z1377">
        <v>0.87</v>
      </c>
      <c r="AA1377">
        <v>3.74</v>
      </c>
      <c r="AB1377">
        <v>4.22</v>
      </c>
      <c r="AC1377">
        <v>0.54</v>
      </c>
      <c r="AD1377">
        <v>8.85</v>
      </c>
      <c r="AE1377">
        <v>0</v>
      </c>
      <c r="AF1377">
        <v>3.0366666666666671</v>
      </c>
      <c r="AG1377" t="str">
        <f>HYPERLINK("https://finance.naver.com/item/fchart.naver?code=001750", "한양증권 차트보기")</f>
        <v>한양증권 차트보기</v>
      </c>
    </row>
    <row r="1378" spans="1:33" x14ac:dyDescent="0.3">
      <c r="A1378" t="s">
        <v>5539</v>
      </c>
      <c r="B1378" t="s">
        <v>55</v>
      </c>
      <c r="C1378" t="s">
        <v>5540</v>
      </c>
      <c r="D1378">
        <v>5475.86</v>
      </c>
      <c r="E1378" t="s">
        <v>5541</v>
      </c>
      <c r="F1378">
        <v>12.21</v>
      </c>
      <c r="G1378">
        <v>0.60000002384185791</v>
      </c>
      <c r="H1378">
        <v>411</v>
      </c>
      <c r="I1378">
        <v>2.3900001049041748</v>
      </c>
      <c r="J1378" t="s">
        <v>5542</v>
      </c>
      <c r="K1378">
        <v>6430</v>
      </c>
      <c r="L1378">
        <v>5020</v>
      </c>
      <c r="M1378">
        <v>-21.93</v>
      </c>
      <c r="N1378">
        <v>-3.46</v>
      </c>
      <c r="O1378">
        <v>-4.8600000000000003</v>
      </c>
      <c r="P1378">
        <v>-4.29</v>
      </c>
      <c r="Q1378">
        <v>-11.52</v>
      </c>
      <c r="R1378">
        <v>-8.25</v>
      </c>
      <c r="S1378">
        <v>2.2999999999999998</v>
      </c>
      <c r="T1378">
        <v>1.38</v>
      </c>
      <c r="U1378">
        <v>1.77</v>
      </c>
      <c r="V1378">
        <v>2.6</v>
      </c>
      <c r="W1378">
        <v>2.92</v>
      </c>
      <c r="X1378">
        <v>1.44</v>
      </c>
      <c r="Y1378">
        <v>1.41</v>
      </c>
      <c r="Z1378">
        <v>2.5099999999999998</v>
      </c>
      <c r="AA1378">
        <v>2.75</v>
      </c>
      <c r="AB1378">
        <v>1.65</v>
      </c>
      <c r="AC1378">
        <v>3.95</v>
      </c>
      <c r="AD1378">
        <v>5.73</v>
      </c>
      <c r="AE1378">
        <v>1.63</v>
      </c>
      <c r="AF1378">
        <v>3.0366666666666671</v>
      </c>
      <c r="AG1378" t="str">
        <f>HYPERLINK("https://finance.naver.com/item/fchart.naver?code=006140", "피제이전자 차트보기")</f>
        <v>피제이전자 차트보기</v>
      </c>
    </row>
    <row r="1379" spans="1:33" x14ac:dyDescent="0.3">
      <c r="A1379" t="s">
        <v>5543</v>
      </c>
      <c r="B1379" t="s">
        <v>55</v>
      </c>
      <c r="C1379" t="s">
        <v>5544</v>
      </c>
      <c r="D1379">
        <v>352875.29</v>
      </c>
      <c r="E1379" t="s">
        <v>5545</v>
      </c>
      <c r="F1379">
        <v>12.5</v>
      </c>
      <c r="G1379">
        <v>2.4000000953674321</v>
      </c>
      <c r="H1379">
        <v>715</v>
      </c>
      <c r="I1379">
        <v>5.5900001525878906</v>
      </c>
      <c r="J1379" t="s">
        <v>5546</v>
      </c>
      <c r="K1379">
        <v>7020</v>
      </c>
      <c r="L1379">
        <v>8940</v>
      </c>
      <c r="M1379">
        <v>27.35</v>
      </c>
      <c r="N1379">
        <v>20.81</v>
      </c>
      <c r="O1379">
        <v>2.0699999999999998</v>
      </c>
      <c r="P1379">
        <v>3.13</v>
      </c>
      <c r="Q1379">
        <v>4.0599999999999996</v>
      </c>
      <c r="R1379">
        <v>0.98</v>
      </c>
      <c r="S1379">
        <v>3.5</v>
      </c>
      <c r="T1379">
        <v>5.8</v>
      </c>
      <c r="U1379">
        <v>1.64</v>
      </c>
      <c r="V1379">
        <v>1.48</v>
      </c>
      <c r="W1379">
        <v>1.93</v>
      </c>
      <c r="X1379">
        <v>0.8</v>
      </c>
      <c r="Y1379">
        <v>0.44</v>
      </c>
      <c r="Z1379">
        <v>3.59</v>
      </c>
      <c r="AA1379">
        <v>1.26</v>
      </c>
      <c r="AB1379">
        <v>2.11</v>
      </c>
      <c r="AC1379">
        <v>2.1</v>
      </c>
      <c r="AD1379">
        <v>1.22</v>
      </c>
      <c r="AE1379">
        <v>7.95</v>
      </c>
      <c r="AF1379">
        <v>3.038333333333334</v>
      </c>
      <c r="AG1379" t="str">
        <f>HYPERLINK("https://finance.naver.com/item/fchart.naver?code=029960", "코엔텍 차트보기")</f>
        <v>코엔텍 차트보기</v>
      </c>
    </row>
    <row r="1380" spans="1:33" x14ac:dyDescent="0.3">
      <c r="A1380" t="s">
        <v>5547</v>
      </c>
      <c r="B1380" t="s">
        <v>55</v>
      </c>
      <c r="C1380" t="s">
        <v>5548</v>
      </c>
      <c r="D1380">
        <v>356537.43</v>
      </c>
      <c r="E1380" t="s">
        <v>5549</v>
      </c>
      <c r="F1380">
        <v>0</v>
      </c>
      <c r="G1380">
        <v>0.94999998807907104</v>
      </c>
      <c r="H1380">
        <v>0</v>
      </c>
      <c r="I1380">
        <v>0.64999997615814209</v>
      </c>
      <c r="J1380" t="s">
        <v>5550</v>
      </c>
      <c r="K1380">
        <v>11140</v>
      </c>
      <c r="L1380">
        <v>7670</v>
      </c>
      <c r="M1380">
        <v>-31.15</v>
      </c>
      <c r="N1380">
        <v>13.46</v>
      </c>
      <c r="O1380">
        <v>-4.45</v>
      </c>
      <c r="P1380">
        <v>1.81</v>
      </c>
      <c r="Q1380">
        <v>-11.21</v>
      </c>
      <c r="R1380">
        <v>-12.94</v>
      </c>
      <c r="S1380">
        <v>-0.53</v>
      </c>
      <c r="T1380">
        <v>2.21</v>
      </c>
      <c r="U1380">
        <v>1.56</v>
      </c>
      <c r="V1380">
        <v>2.2999999999999998</v>
      </c>
      <c r="W1380">
        <v>4.5199999999999996</v>
      </c>
      <c r="X1380">
        <v>2.23</v>
      </c>
      <c r="Y1380">
        <v>2.34</v>
      </c>
      <c r="Z1380">
        <v>6.09</v>
      </c>
      <c r="AA1380">
        <v>2.85</v>
      </c>
      <c r="AB1380">
        <v>0.79</v>
      </c>
      <c r="AC1380">
        <v>2.48</v>
      </c>
      <c r="AD1380">
        <v>5.8</v>
      </c>
      <c r="AE1380">
        <v>0.23</v>
      </c>
      <c r="AF1380">
        <v>3.04</v>
      </c>
      <c r="AG1380" t="str">
        <f>HYPERLINK("https://finance.naver.com/item/fchart.naver?code=042370", "비츠로테크 차트보기")</f>
        <v>비츠로테크 차트보기</v>
      </c>
    </row>
    <row r="1381" spans="1:33" x14ac:dyDescent="0.3">
      <c r="A1381" t="s">
        <v>5551</v>
      </c>
      <c r="B1381" t="s">
        <v>34</v>
      </c>
      <c r="C1381" t="s">
        <v>5552</v>
      </c>
      <c r="D1381">
        <v>198229.67</v>
      </c>
      <c r="E1381" t="s">
        <v>5553</v>
      </c>
      <c r="F1381">
        <v>5.45</v>
      </c>
      <c r="G1381">
        <v>0.81999999284744263</v>
      </c>
      <c r="H1381">
        <v>6241</v>
      </c>
      <c r="I1381">
        <v>1.7100000381469731</v>
      </c>
      <c r="J1381" t="s">
        <v>5554</v>
      </c>
      <c r="K1381">
        <v>43150</v>
      </c>
      <c r="L1381">
        <v>34000</v>
      </c>
      <c r="M1381">
        <v>-21.21</v>
      </c>
      <c r="N1381">
        <v>-8.7200000000000006</v>
      </c>
      <c r="O1381">
        <v>-3.58</v>
      </c>
      <c r="P1381">
        <v>-0.49</v>
      </c>
      <c r="Q1381">
        <v>-25.23</v>
      </c>
      <c r="R1381">
        <v>12.19</v>
      </c>
      <c r="S1381">
        <v>17.41</v>
      </c>
      <c r="T1381">
        <v>2.5499999999999998</v>
      </c>
      <c r="U1381">
        <v>2.2799999999999998</v>
      </c>
      <c r="V1381">
        <v>2.81</v>
      </c>
      <c r="W1381">
        <v>4.16</v>
      </c>
      <c r="X1381">
        <v>2.73</v>
      </c>
      <c r="Y1381">
        <v>6.79</v>
      </c>
      <c r="Z1381">
        <v>3.42</v>
      </c>
      <c r="AA1381">
        <v>1.57</v>
      </c>
      <c r="AB1381">
        <v>0.17</v>
      </c>
      <c r="AC1381">
        <v>6.06</v>
      </c>
      <c r="AD1381">
        <v>4.47</v>
      </c>
      <c r="AE1381">
        <v>2.56</v>
      </c>
      <c r="AF1381">
        <v>3.0416666666666661</v>
      </c>
      <c r="AG1381" t="str">
        <f>HYPERLINK("https://finance.naver.com/item/fchart.naver?code=000990", "DB하이텍 차트보기")</f>
        <v>DB하이텍 차트보기</v>
      </c>
    </row>
    <row r="1382" spans="1:33" x14ac:dyDescent="0.3">
      <c r="A1382" t="s">
        <v>5555</v>
      </c>
      <c r="B1382" t="s">
        <v>55</v>
      </c>
      <c r="C1382" t="s">
        <v>5556</v>
      </c>
      <c r="D1382">
        <v>331403.52000000002</v>
      </c>
      <c r="E1382" t="s">
        <v>5557</v>
      </c>
      <c r="F1382">
        <v>51.79</v>
      </c>
      <c r="G1382">
        <v>1.179999947547913</v>
      </c>
      <c r="H1382">
        <v>257</v>
      </c>
      <c r="I1382">
        <v>1.5</v>
      </c>
      <c r="J1382" t="s">
        <v>5558</v>
      </c>
      <c r="K1382">
        <v>27600</v>
      </c>
      <c r="L1382">
        <v>13310</v>
      </c>
      <c r="M1382">
        <v>-51.78</v>
      </c>
      <c r="N1382">
        <v>0.6</v>
      </c>
      <c r="O1382">
        <v>7.14</v>
      </c>
      <c r="P1382">
        <v>-8.36</v>
      </c>
      <c r="Q1382">
        <v>-23.62</v>
      </c>
      <c r="R1382">
        <v>-19.579999999999998</v>
      </c>
      <c r="S1382">
        <v>-5.98</v>
      </c>
      <c r="T1382">
        <v>3.57</v>
      </c>
      <c r="U1382">
        <v>5.13</v>
      </c>
      <c r="V1382">
        <v>3.71</v>
      </c>
      <c r="W1382">
        <v>4.2</v>
      </c>
      <c r="X1382">
        <v>3.16</v>
      </c>
      <c r="Y1382">
        <v>2.2599999999999998</v>
      </c>
      <c r="Z1382">
        <v>0.17</v>
      </c>
      <c r="AA1382">
        <v>1.39</v>
      </c>
      <c r="AB1382">
        <v>2.25</v>
      </c>
      <c r="AC1382">
        <v>5.62</v>
      </c>
      <c r="AD1382">
        <v>6.2</v>
      </c>
      <c r="AE1382">
        <v>2.65</v>
      </c>
      <c r="AF1382">
        <v>3.046666666666666</v>
      </c>
      <c r="AG1382" t="str">
        <f>HYPERLINK("https://finance.naver.com/item/fchart.naver?code=356860", "티엘비 차트보기")</f>
        <v>티엘비 차트보기</v>
      </c>
    </row>
    <row r="1383" spans="1:33" x14ac:dyDescent="0.3">
      <c r="A1383" t="s">
        <v>5559</v>
      </c>
      <c r="B1383" t="s">
        <v>55</v>
      </c>
      <c r="C1383" t="s">
        <v>5560</v>
      </c>
      <c r="D1383">
        <v>258734.48</v>
      </c>
      <c r="E1383" t="s">
        <v>5561</v>
      </c>
      <c r="F1383">
        <v>0</v>
      </c>
      <c r="G1383">
        <v>2.3299999237060551</v>
      </c>
      <c r="H1383">
        <v>0</v>
      </c>
      <c r="I1383">
        <v>0</v>
      </c>
      <c r="J1383" t="s">
        <v>5562</v>
      </c>
      <c r="K1383">
        <v>8050</v>
      </c>
      <c r="L1383">
        <v>4870</v>
      </c>
      <c r="M1383">
        <v>-39.5</v>
      </c>
      <c r="N1383">
        <v>-15.16</v>
      </c>
      <c r="O1383">
        <v>-11.08</v>
      </c>
      <c r="P1383">
        <v>5.7</v>
      </c>
      <c r="Q1383">
        <v>-9.1</v>
      </c>
      <c r="R1383">
        <v>-6.58</v>
      </c>
      <c r="S1383">
        <v>0.55000000000000004</v>
      </c>
      <c r="T1383">
        <v>2.02</v>
      </c>
      <c r="U1383">
        <v>2.5099999999999998</v>
      </c>
      <c r="V1383">
        <v>5.27</v>
      </c>
      <c r="W1383">
        <v>2.84</v>
      </c>
      <c r="X1383">
        <v>3.46</v>
      </c>
      <c r="Y1383">
        <v>2.93</v>
      </c>
      <c r="Z1383">
        <v>7.5</v>
      </c>
      <c r="AA1383">
        <v>4.41</v>
      </c>
      <c r="AB1383">
        <v>1.08</v>
      </c>
      <c r="AC1383">
        <v>3.2</v>
      </c>
      <c r="AD1383">
        <v>1.9</v>
      </c>
      <c r="AE1383">
        <v>0.19</v>
      </c>
      <c r="AF1383">
        <v>3.0466666666666669</v>
      </c>
      <c r="AG1383" t="str">
        <f>HYPERLINK("https://finance.naver.com/item/fchart.naver?code=252990", "샘씨엔에스 차트보기")</f>
        <v>샘씨엔에스 차트보기</v>
      </c>
    </row>
    <row r="1384" spans="1:33" x14ac:dyDescent="0.3">
      <c r="A1384" t="s">
        <v>5563</v>
      </c>
      <c r="B1384" t="s">
        <v>55</v>
      </c>
      <c r="C1384" t="s">
        <v>5564</v>
      </c>
      <c r="D1384">
        <v>108071.71</v>
      </c>
      <c r="E1384" t="s">
        <v>5565</v>
      </c>
      <c r="F1384">
        <v>0</v>
      </c>
      <c r="G1384">
        <v>2.0099999904632568</v>
      </c>
      <c r="H1384">
        <v>0</v>
      </c>
      <c r="I1384">
        <v>0</v>
      </c>
      <c r="J1384" t="s">
        <v>5566</v>
      </c>
      <c r="K1384">
        <v>4145</v>
      </c>
      <c r="L1384">
        <v>3535</v>
      </c>
      <c r="M1384">
        <v>-14.72</v>
      </c>
      <c r="N1384">
        <v>-1.39</v>
      </c>
      <c r="O1384">
        <v>19.940000000000001</v>
      </c>
      <c r="P1384">
        <v>2.79</v>
      </c>
      <c r="Q1384">
        <v>-17.600000000000001</v>
      </c>
      <c r="R1384">
        <v>-8.75</v>
      </c>
      <c r="S1384">
        <v>-0.13</v>
      </c>
      <c r="T1384">
        <v>3.03</v>
      </c>
      <c r="U1384">
        <v>3.13</v>
      </c>
      <c r="V1384">
        <v>1.6</v>
      </c>
      <c r="W1384">
        <v>3.02</v>
      </c>
      <c r="X1384">
        <v>2.27</v>
      </c>
      <c r="Y1384">
        <v>3.24</v>
      </c>
      <c r="Z1384">
        <v>0.46</v>
      </c>
      <c r="AA1384">
        <v>6.37</v>
      </c>
      <c r="AB1384">
        <v>1.74</v>
      </c>
      <c r="AC1384">
        <v>5.83</v>
      </c>
      <c r="AD1384">
        <v>3.85</v>
      </c>
      <c r="AE1384">
        <v>0.04</v>
      </c>
      <c r="AF1384">
        <v>3.0483333333333329</v>
      </c>
      <c r="AG1384" t="str">
        <f>HYPERLINK("https://finance.naver.com/item/fchart.naver?code=222040", "코스맥스엔비티 차트보기")</f>
        <v>코스맥스엔비티 차트보기</v>
      </c>
    </row>
    <row r="1385" spans="1:33" x14ac:dyDescent="0.3">
      <c r="A1385" t="s">
        <v>5567</v>
      </c>
      <c r="B1385" t="s">
        <v>55</v>
      </c>
      <c r="C1385" t="s">
        <v>5568</v>
      </c>
      <c r="D1385">
        <v>2264.9</v>
      </c>
      <c r="E1385" t="s">
        <v>5569</v>
      </c>
      <c r="F1385">
        <v>22.18</v>
      </c>
      <c r="G1385">
        <v>0.40999999642372131</v>
      </c>
      <c r="H1385">
        <v>179</v>
      </c>
      <c r="I1385">
        <v>1.5099999904632571</v>
      </c>
      <c r="J1385" t="s">
        <v>5570</v>
      </c>
      <c r="K1385">
        <v>4160</v>
      </c>
      <c r="L1385">
        <v>3970</v>
      </c>
      <c r="M1385">
        <v>-4.57</v>
      </c>
      <c r="N1385">
        <v>1.53</v>
      </c>
      <c r="O1385">
        <v>-3.7</v>
      </c>
      <c r="P1385">
        <v>1.75</v>
      </c>
      <c r="Q1385">
        <v>6.42</v>
      </c>
      <c r="R1385">
        <v>-3.17</v>
      </c>
      <c r="S1385">
        <v>-5.03</v>
      </c>
      <c r="T1385">
        <v>0.51</v>
      </c>
      <c r="U1385">
        <v>0.86</v>
      </c>
      <c r="V1385">
        <v>1.17</v>
      </c>
      <c r="W1385">
        <v>2.93</v>
      </c>
      <c r="X1385">
        <v>1.17</v>
      </c>
      <c r="Y1385">
        <v>1.0900000000000001</v>
      </c>
      <c r="Z1385">
        <v>3</v>
      </c>
      <c r="AA1385">
        <v>4.3</v>
      </c>
      <c r="AB1385">
        <v>1.5</v>
      </c>
      <c r="AC1385">
        <v>2.19</v>
      </c>
      <c r="AD1385">
        <v>2.71</v>
      </c>
      <c r="AE1385">
        <v>4.6100000000000003</v>
      </c>
      <c r="AF1385">
        <v>3.0516666666666659</v>
      </c>
      <c r="AG1385" t="str">
        <f>HYPERLINK("https://finance.naver.com/item/fchart.naver?code=008470", "부스타 차트보기")</f>
        <v>부스타 차트보기</v>
      </c>
    </row>
    <row r="1386" spans="1:33" x14ac:dyDescent="0.3">
      <c r="A1386" t="s">
        <v>5571</v>
      </c>
      <c r="B1386" t="s">
        <v>55</v>
      </c>
      <c r="C1386" t="s">
        <v>5572</v>
      </c>
      <c r="D1386">
        <v>585277.1</v>
      </c>
      <c r="E1386" t="s">
        <v>5573</v>
      </c>
      <c r="F1386">
        <v>0</v>
      </c>
      <c r="G1386">
        <v>159.38999938964841</v>
      </c>
      <c r="H1386">
        <v>0</v>
      </c>
      <c r="I1386">
        <v>0</v>
      </c>
      <c r="J1386" t="s">
        <v>5574</v>
      </c>
      <c r="K1386">
        <v>178000</v>
      </c>
      <c r="L1386">
        <v>445500</v>
      </c>
      <c r="M1386">
        <v>150.28</v>
      </c>
      <c r="N1386">
        <v>24.96</v>
      </c>
      <c r="O1386">
        <v>12.05</v>
      </c>
      <c r="P1386">
        <v>1.55</v>
      </c>
      <c r="Q1386">
        <v>0</v>
      </c>
      <c r="R1386">
        <v>13.51</v>
      </c>
      <c r="S1386">
        <v>40.950000000000003</v>
      </c>
      <c r="T1386">
        <v>7.24</v>
      </c>
      <c r="U1386">
        <v>2.35</v>
      </c>
      <c r="V1386">
        <v>3.66</v>
      </c>
      <c r="W1386">
        <v>4.37</v>
      </c>
      <c r="X1386">
        <v>4.59</v>
      </c>
      <c r="Y1386">
        <v>6.43</v>
      </c>
      <c r="Z1386">
        <v>3.45</v>
      </c>
      <c r="AA1386">
        <v>5.13</v>
      </c>
      <c r="AB1386">
        <v>0.42</v>
      </c>
      <c r="AC1386">
        <v>0</v>
      </c>
      <c r="AD1386">
        <v>2.94</v>
      </c>
      <c r="AE1386">
        <v>6.37</v>
      </c>
      <c r="AF1386">
        <v>3.0516666666666659</v>
      </c>
      <c r="AG1386" t="str">
        <f>HYPERLINK("https://finance.naver.com/item/fchart.naver?code=196170", "알테오젠 차트보기")</f>
        <v>알테오젠 차트보기</v>
      </c>
    </row>
    <row r="1387" spans="1:33" x14ac:dyDescent="0.3">
      <c r="A1387" t="s">
        <v>5575</v>
      </c>
      <c r="B1387" t="s">
        <v>55</v>
      </c>
      <c r="C1387" t="s">
        <v>5576</v>
      </c>
      <c r="D1387">
        <v>8449.24</v>
      </c>
      <c r="E1387" t="s">
        <v>5577</v>
      </c>
      <c r="F1387">
        <v>11.28</v>
      </c>
      <c r="G1387">
        <v>0.64999997615814209</v>
      </c>
      <c r="H1387">
        <v>847</v>
      </c>
      <c r="I1387">
        <v>2.619999885559082</v>
      </c>
      <c r="J1387" t="s">
        <v>5578</v>
      </c>
      <c r="K1387">
        <v>12260</v>
      </c>
      <c r="L1387">
        <v>9550</v>
      </c>
      <c r="M1387">
        <v>-22.1</v>
      </c>
      <c r="N1387">
        <v>-0.83</v>
      </c>
      <c r="O1387">
        <v>-2.12</v>
      </c>
      <c r="P1387">
        <v>-2.75</v>
      </c>
      <c r="Q1387">
        <v>-4.92</v>
      </c>
      <c r="R1387">
        <v>-3.69</v>
      </c>
      <c r="S1387">
        <v>-5.63</v>
      </c>
      <c r="T1387">
        <v>0.84</v>
      </c>
      <c r="U1387">
        <v>1.43</v>
      </c>
      <c r="V1387">
        <v>1.03</v>
      </c>
      <c r="W1387">
        <v>0.99</v>
      </c>
      <c r="X1387">
        <v>1.32</v>
      </c>
      <c r="Y1387">
        <v>1.04</v>
      </c>
      <c r="Z1387">
        <v>0.99</v>
      </c>
      <c r="AA1387">
        <v>1.48</v>
      </c>
      <c r="AB1387">
        <v>2.67</v>
      </c>
      <c r="AC1387">
        <v>4.97</v>
      </c>
      <c r="AD1387">
        <v>2.8</v>
      </c>
      <c r="AE1387">
        <v>5.41</v>
      </c>
      <c r="AF1387">
        <v>3.0533333333333328</v>
      </c>
      <c r="AG1387" t="str">
        <f>HYPERLINK("https://finance.naver.com/item/fchart.naver?code=078070", "유비쿼스홀딩스 차트보기")</f>
        <v>유비쿼스홀딩스 차트보기</v>
      </c>
    </row>
    <row r="1388" spans="1:33" x14ac:dyDescent="0.3">
      <c r="A1388" t="s">
        <v>5579</v>
      </c>
      <c r="B1388" t="s">
        <v>55</v>
      </c>
      <c r="C1388" t="s">
        <v>5580</v>
      </c>
      <c r="D1388">
        <v>55944.52</v>
      </c>
      <c r="E1388" t="s">
        <v>5581</v>
      </c>
      <c r="F1388">
        <v>20.14</v>
      </c>
      <c r="G1388">
        <v>1.580000042915344</v>
      </c>
      <c r="H1388">
        <v>139</v>
      </c>
      <c r="I1388">
        <v>0.36000001430511469</v>
      </c>
      <c r="J1388" t="s">
        <v>5582</v>
      </c>
      <c r="K1388">
        <v>3750</v>
      </c>
      <c r="L1388">
        <v>2800</v>
      </c>
      <c r="M1388">
        <v>-25.33</v>
      </c>
      <c r="N1388">
        <v>-3.45</v>
      </c>
      <c r="O1388">
        <v>-2.46</v>
      </c>
      <c r="P1388">
        <v>0.16</v>
      </c>
      <c r="Q1388">
        <v>-7.08</v>
      </c>
      <c r="R1388">
        <v>-9.83</v>
      </c>
      <c r="S1388">
        <v>-2.4700000000000002</v>
      </c>
      <c r="T1388">
        <v>1.23</v>
      </c>
      <c r="U1388">
        <v>0.85</v>
      </c>
      <c r="V1388">
        <v>1.64</v>
      </c>
      <c r="W1388">
        <v>4.6100000000000003</v>
      </c>
      <c r="X1388">
        <v>1</v>
      </c>
      <c r="Y1388">
        <v>2.13</v>
      </c>
      <c r="Z1388">
        <v>2.8</v>
      </c>
      <c r="AA1388">
        <v>2.89</v>
      </c>
      <c r="AB1388">
        <v>0.1</v>
      </c>
      <c r="AC1388">
        <v>1.54</v>
      </c>
      <c r="AD1388">
        <v>9.83</v>
      </c>
      <c r="AE1388">
        <v>1.1599999999999999</v>
      </c>
      <c r="AF1388">
        <v>3.0533333333333328</v>
      </c>
      <c r="AG1388" t="str">
        <f>HYPERLINK("https://finance.naver.com/item/fchart.naver?code=131370", "알서포트 차트보기")</f>
        <v>알서포트 차트보기</v>
      </c>
    </row>
    <row r="1389" spans="1:33" x14ac:dyDescent="0.3">
      <c r="A1389" t="s">
        <v>5583</v>
      </c>
      <c r="B1389" t="s">
        <v>55</v>
      </c>
      <c r="C1389" t="s">
        <v>5584</v>
      </c>
      <c r="D1389">
        <v>29763.95</v>
      </c>
      <c r="E1389" t="s">
        <v>5585</v>
      </c>
      <c r="F1389">
        <v>12.79</v>
      </c>
      <c r="G1389">
        <v>2.0999999046325679</v>
      </c>
      <c r="H1389">
        <v>2752</v>
      </c>
      <c r="I1389">
        <v>2.2699999809265141</v>
      </c>
      <c r="J1389" t="s">
        <v>5586</v>
      </c>
      <c r="K1389">
        <v>63700</v>
      </c>
      <c r="L1389">
        <v>35200</v>
      </c>
      <c r="M1389">
        <v>-44.74</v>
      </c>
      <c r="N1389">
        <v>-2.4900000000000002</v>
      </c>
      <c r="O1389">
        <v>-4.97</v>
      </c>
      <c r="P1389">
        <v>2.06</v>
      </c>
      <c r="Q1389">
        <v>-17.13</v>
      </c>
      <c r="R1389">
        <v>-14.11</v>
      </c>
      <c r="S1389">
        <v>-15.38</v>
      </c>
      <c r="T1389">
        <v>2.58</v>
      </c>
      <c r="U1389">
        <v>2.37</v>
      </c>
      <c r="V1389">
        <v>5.08</v>
      </c>
      <c r="W1389">
        <v>6.83</v>
      </c>
      <c r="X1389">
        <v>2.1</v>
      </c>
      <c r="Y1389">
        <v>2.74</v>
      </c>
      <c r="Z1389">
        <v>0.97</v>
      </c>
      <c r="AA1389">
        <v>2.1</v>
      </c>
      <c r="AB1389">
        <v>0.41</v>
      </c>
      <c r="AC1389">
        <v>2.5099999999999998</v>
      </c>
      <c r="AD1389">
        <v>6.72</v>
      </c>
      <c r="AE1389">
        <v>5.61</v>
      </c>
      <c r="AF1389">
        <v>3.0533333333333328</v>
      </c>
      <c r="AG1389" t="str">
        <f>HYPERLINK("https://finance.naver.com/item/fchart.naver?code=420770", "기가비스 차트보기")</f>
        <v>기가비스 차트보기</v>
      </c>
    </row>
    <row r="1390" spans="1:33" x14ac:dyDescent="0.3">
      <c r="A1390" t="s">
        <v>5587</v>
      </c>
      <c r="B1390" t="s">
        <v>55</v>
      </c>
      <c r="C1390" t="s">
        <v>5588</v>
      </c>
      <c r="D1390">
        <v>197038.43</v>
      </c>
      <c r="E1390" t="s">
        <v>5589</v>
      </c>
      <c r="J1390" t="s">
        <v>5590</v>
      </c>
      <c r="K1390">
        <v>12520</v>
      </c>
      <c r="L1390">
        <v>16170</v>
      </c>
      <c r="M1390">
        <v>29.15</v>
      </c>
      <c r="N1390">
        <v>2.99</v>
      </c>
      <c r="O1390">
        <v>15.9</v>
      </c>
      <c r="P1390">
        <v>-9.89</v>
      </c>
      <c r="Q1390">
        <v>-13.81</v>
      </c>
      <c r="R1390">
        <v>20.51</v>
      </c>
      <c r="S1390">
        <v>-7.84</v>
      </c>
      <c r="T1390">
        <v>2.68</v>
      </c>
      <c r="U1390">
        <v>4</v>
      </c>
      <c r="V1390">
        <v>2.48</v>
      </c>
      <c r="W1390">
        <v>3.37</v>
      </c>
      <c r="X1390">
        <v>7.35</v>
      </c>
      <c r="Y1390">
        <v>3.35</v>
      </c>
      <c r="Z1390">
        <v>1.1200000000000001</v>
      </c>
      <c r="AA1390">
        <v>3.98</v>
      </c>
      <c r="AB1390">
        <v>3.99</v>
      </c>
      <c r="AC1390">
        <v>4.0999999999999996</v>
      </c>
      <c r="AD1390">
        <v>2.79</v>
      </c>
      <c r="AE1390">
        <v>2.34</v>
      </c>
      <c r="AF1390">
        <v>3.0533333333333328</v>
      </c>
      <c r="AG1390" t="str">
        <f>HYPERLINK("https://finance.naver.com/item/fchart.naver?code=950160", "코오롱티슈진 차트보기")</f>
        <v>코오롱티슈진 차트보기</v>
      </c>
    </row>
    <row r="1391" spans="1:33" x14ac:dyDescent="0.3">
      <c r="A1391" t="s">
        <v>5591</v>
      </c>
      <c r="B1391" t="s">
        <v>34</v>
      </c>
      <c r="C1391" t="s">
        <v>5592</v>
      </c>
      <c r="D1391">
        <v>57391.76</v>
      </c>
      <c r="E1391" t="s">
        <v>5593</v>
      </c>
      <c r="F1391">
        <v>15.03</v>
      </c>
      <c r="G1391">
        <v>0.38999998569488531</v>
      </c>
      <c r="H1391">
        <v>692</v>
      </c>
      <c r="I1391">
        <v>2.880000114440918</v>
      </c>
      <c r="J1391" t="s">
        <v>5594</v>
      </c>
      <c r="K1391">
        <v>10460</v>
      </c>
      <c r="L1391">
        <v>10400</v>
      </c>
      <c r="M1391">
        <v>-0.56999999999999995</v>
      </c>
      <c r="N1391">
        <v>5.26</v>
      </c>
      <c r="O1391">
        <v>3.48</v>
      </c>
      <c r="P1391">
        <v>7.96</v>
      </c>
      <c r="Q1391">
        <v>-4.76</v>
      </c>
      <c r="R1391">
        <v>-1.19</v>
      </c>
      <c r="S1391">
        <v>-5.3</v>
      </c>
      <c r="T1391">
        <v>1.94</v>
      </c>
      <c r="U1391">
        <v>1.26</v>
      </c>
      <c r="V1391">
        <v>1.62</v>
      </c>
      <c r="W1391">
        <v>2.04</v>
      </c>
      <c r="X1391">
        <v>1.31</v>
      </c>
      <c r="Y1391">
        <v>1.1200000000000001</v>
      </c>
      <c r="Z1391">
        <v>2.71</v>
      </c>
      <c r="AA1391">
        <v>2.76</v>
      </c>
      <c r="AB1391">
        <v>4.91</v>
      </c>
      <c r="AC1391">
        <v>2.33</v>
      </c>
      <c r="AD1391">
        <v>0.91</v>
      </c>
      <c r="AE1391">
        <v>4.7300000000000004</v>
      </c>
      <c r="AF1391">
        <v>3.058333333333334</v>
      </c>
      <c r="AG1391" t="str">
        <f>HYPERLINK("https://finance.naver.com/item/fchart.naver?code=005680", "삼영전자 차트보기")</f>
        <v>삼영전자 차트보기</v>
      </c>
    </row>
    <row r="1392" spans="1:33" x14ac:dyDescent="0.3">
      <c r="A1392" t="s">
        <v>5595</v>
      </c>
      <c r="B1392" t="s">
        <v>55</v>
      </c>
      <c r="C1392" t="s">
        <v>5596</v>
      </c>
      <c r="D1392">
        <v>157656.57</v>
      </c>
      <c r="E1392" t="s">
        <v>5597</v>
      </c>
      <c r="F1392">
        <v>35.58</v>
      </c>
      <c r="G1392">
        <v>1.110000014305115</v>
      </c>
      <c r="H1392">
        <v>36</v>
      </c>
      <c r="I1392">
        <v>0</v>
      </c>
      <c r="J1392" t="s">
        <v>5598</v>
      </c>
      <c r="K1392">
        <v>1404</v>
      </c>
      <c r="L1392">
        <v>1281</v>
      </c>
      <c r="M1392">
        <v>-8.76</v>
      </c>
      <c r="N1392">
        <v>6.75</v>
      </c>
      <c r="O1392">
        <v>-4.51</v>
      </c>
      <c r="P1392">
        <v>13.68</v>
      </c>
      <c r="Q1392">
        <v>-14.64</v>
      </c>
      <c r="R1392">
        <v>3.09</v>
      </c>
      <c r="S1392">
        <v>-13.06</v>
      </c>
      <c r="T1392">
        <v>2.14</v>
      </c>
      <c r="U1392">
        <v>2</v>
      </c>
      <c r="V1392">
        <v>2.59</v>
      </c>
      <c r="W1392">
        <v>4.5599999999999996</v>
      </c>
      <c r="X1392">
        <v>1.95</v>
      </c>
      <c r="Y1392">
        <v>4.53</v>
      </c>
      <c r="Z1392">
        <v>3.15</v>
      </c>
      <c r="AA1392">
        <v>2.25</v>
      </c>
      <c r="AB1392">
        <v>5.28</v>
      </c>
      <c r="AC1392">
        <v>3.21</v>
      </c>
      <c r="AD1392">
        <v>1.58</v>
      </c>
      <c r="AE1392">
        <v>2.88</v>
      </c>
      <c r="AF1392">
        <v>3.058333333333334</v>
      </c>
      <c r="AG1392" t="str">
        <f>HYPERLINK("https://finance.naver.com/item/fchart.naver?code=129890", "앱코 차트보기")</f>
        <v>앱코 차트보기</v>
      </c>
    </row>
    <row r="1393" spans="1:33" x14ac:dyDescent="0.3">
      <c r="A1393" t="s">
        <v>5599</v>
      </c>
      <c r="B1393" t="s">
        <v>34</v>
      </c>
      <c r="C1393" t="s">
        <v>5600</v>
      </c>
      <c r="D1393">
        <v>327591.48</v>
      </c>
      <c r="E1393" t="s">
        <v>5601</v>
      </c>
      <c r="F1393">
        <v>0</v>
      </c>
      <c r="G1393">
        <v>0.41999998688697809</v>
      </c>
      <c r="H1393">
        <v>0</v>
      </c>
      <c r="I1393">
        <v>0</v>
      </c>
      <c r="J1393" t="s">
        <v>5602</v>
      </c>
      <c r="K1393">
        <v>1678</v>
      </c>
      <c r="L1393">
        <v>1207</v>
      </c>
      <c r="M1393">
        <v>-28.07</v>
      </c>
      <c r="N1393">
        <v>-2.11</v>
      </c>
      <c r="O1393">
        <v>-6.46</v>
      </c>
      <c r="P1393">
        <v>4.7300000000000004</v>
      </c>
      <c r="Q1393">
        <v>-3.76</v>
      </c>
      <c r="R1393">
        <v>-9.19</v>
      </c>
      <c r="S1393">
        <v>-5.78</v>
      </c>
      <c r="T1393">
        <v>1.96</v>
      </c>
      <c r="U1393">
        <v>1.75</v>
      </c>
      <c r="V1393">
        <v>1.99</v>
      </c>
      <c r="W1393">
        <v>3.35</v>
      </c>
      <c r="X1393">
        <v>1.51</v>
      </c>
      <c r="Y1393">
        <v>1.45</v>
      </c>
      <c r="Z1393">
        <v>1.08</v>
      </c>
      <c r="AA1393">
        <v>3.69</v>
      </c>
      <c r="AB1393">
        <v>2.38</v>
      </c>
      <c r="AC1393">
        <v>1.1200000000000001</v>
      </c>
      <c r="AD1393">
        <v>6.09</v>
      </c>
      <c r="AE1393">
        <v>3.99</v>
      </c>
      <c r="AF1393">
        <v>3.058333333333334</v>
      </c>
      <c r="AG1393" t="str">
        <f>HYPERLINK("https://finance.naver.com/item/fchart.naver?code=012800", "대창 차트보기")</f>
        <v>대창 차트보기</v>
      </c>
    </row>
    <row r="1394" spans="1:33" x14ac:dyDescent="0.3">
      <c r="A1394" t="s">
        <v>5603</v>
      </c>
      <c r="B1394" t="s">
        <v>34</v>
      </c>
      <c r="C1394" t="s">
        <v>5604</v>
      </c>
      <c r="D1394">
        <v>2006627.43</v>
      </c>
      <c r="E1394" t="s">
        <v>5605</v>
      </c>
      <c r="F1394">
        <v>23.04</v>
      </c>
      <c r="G1394">
        <v>0.81999999284744263</v>
      </c>
      <c r="H1394">
        <v>97</v>
      </c>
      <c r="I1394">
        <v>0</v>
      </c>
      <c r="J1394" t="s">
        <v>5606</v>
      </c>
      <c r="K1394">
        <v>2210</v>
      </c>
      <c r="L1394">
        <v>2235</v>
      </c>
      <c r="M1394">
        <v>1.1299999999999999</v>
      </c>
      <c r="N1394">
        <v>9.2899999999999991</v>
      </c>
      <c r="O1394">
        <v>-7.49</v>
      </c>
      <c r="P1394">
        <v>15.12</v>
      </c>
      <c r="Q1394">
        <v>-25.97</v>
      </c>
      <c r="R1394">
        <v>30.85</v>
      </c>
      <c r="S1394">
        <v>-9.0299999999999994</v>
      </c>
      <c r="T1394">
        <v>6.47</v>
      </c>
      <c r="U1394">
        <v>3.74</v>
      </c>
      <c r="V1394">
        <v>8.74</v>
      </c>
      <c r="W1394">
        <v>5.18</v>
      </c>
      <c r="X1394">
        <v>7</v>
      </c>
      <c r="Y1394">
        <v>2.39</v>
      </c>
      <c r="Z1394">
        <v>1.44</v>
      </c>
      <c r="AA1394">
        <v>2</v>
      </c>
      <c r="AB1394">
        <v>1.73</v>
      </c>
      <c r="AC1394">
        <v>5.01</v>
      </c>
      <c r="AD1394">
        <v>4.41</v>
      </c>
      <c r="AE1394">
        <v>3.78</v>
      </c>
      <c r="AF1394">
        <v>3.061666666666667</v>
      </c>
      <c r="AG1394" t="str">
        <f>HYPERLINK("https://finance.naver.com/item/fchart.naver?code=011420", "갤럭시아에스엠 차트보기")</f>
        <v>갤럭시아에스엠 차트보기</v>
      </c>
    </row>
    <row r="1395" spans="1:33" x14ac:dyDescent="0.3">
      <c r="A1395" t="s">
        <v>5607</v>
      </c>
      <c r="B1395" t="s">
        <v>55</v>
      </c>
      <c r="C1395" t="s">
        <v>5608</v>
      </c>
      <c r="D1395">
        <v>178152.19</v>
      </c>
      <c r="E1395" t="s">
        <v>5609</v>
      </c>
      <c r="F1395">
        <v>7.76</v>
      </c>
      <c r="G1395">
        <v>0.64999997615814209</v>
      </c>
      <c r="H1395">
        <v>223</v>
      </c>
      <c r="I1395">
        <v>0</v>
      </c>
      <c r="J1395" t="s">
        <v>5610</v>
      </c>
      <c r="K1395">
        <v>2370</v>
      </c>
      <c r="L1395">
        <v>1730</v>
      </c>
      <c r="M1395">
        <v>-27</v>
      </c>
      <c r="N1395">
        <v>-1.82</v>
      </c>
      <c r="O1395">
        <v>0.46</v>
      </c>
      <c r="P1395">
        <v>-5.55</v>
      </c>
      <c r="Q1395">
        <v>-5.67</v>
      </c>
      <c r="R1395">
        <v>-9.7899999999999991</v>
      </c>
      <c r="S1395">
        <v>-4.9000000000000004</v>
      </c>
      <c r="T1395">
        <v>0.95</v>
      </c>
      <c r="U1395">
        <v>2.15</v>
      </c>
      <c r="V1395">
        <v>2.38</v>
      </c>
      <c r="W1395">
        <v>2.77</v>
      </c>
      <c r="X1395">
        <v>1.0900000000000001</v>
      </c>
      <c r="Y1395">
        <v>1.7</v>
      </c>
      <c r="Z1395">
        <v>1.92</v>
      </c>
      <c r="AA1395">
        <v>0.21</v>
      </c>
      <c r="AB1395">
        <v>2.33</v>
      </c>
      <c r="AC1395">
        <v>2.0499999999999998</v>
      </c>
      <c r="AD1395">
        <v>8.98</v>
      </c>
      <c r="AE1395">
        <v>2.88</v>
      </c>
      <c r="AF1395">
        <v>3.061666666666667</v>
      </c>
      <c r="AG1395" t="str">
        <f>HYPERLINK("https://finance.naver.com/item/fchart.naver?code=035460", "기산텔레콤 차트보기")</f>
        <v>기산텔레콤 차트보기</v>
      </c>
    </row>
    <row r="1396" spans="1:33" x14ac:dyDescent="0.3">
      <c r="A1396" t="s">
        <v>5611</v>
      </c>
      <c r="B1396" t="s">
        <v>55</v>
      </c>
      <c r="C1396" t="s">
        <v>5612</v>
      </c>
      <c r="D1396">
        <v>98885.05</v>
      </c>
      <c r="E1396" t="s">
        <v>5613</v>
      </c>
      <c r="F1396">
        <v>14.24</v>
      </c>
      <c r="G1396">
        <v>0.8399999737739563</v>
      </c>
      <c r="H1396">
        <v>427</v>
      </c>
      <c r="I1396">
        <v>2.9600000381469731</v>
      </c>
      <c r="J1396" t="s">
        <v>5614</v>
      </c>
      <c r="K1396">
        <v>9090</v>
      </c>
      <c r="L1396">
        <v>6080</v>
      </c>
      <c r="M1396">
        <v>-33.11</v>
      </c>
      <c r="N1396">
        <v>-0.65</v>
      </c>
      <c r="O1396">
        <v>-8.85</v>
      </c>
      <c r="P1396">
        <v>-8.31</v>
      </c>
      <c r="Q1396">
        <v>-3.09</v>
      </c>
      <c r="R1396">
        <v>-2.9</v>
      </c>
      <c r="S1396">
        <v>-11.91</v>
      </c>
      <c r="T1396">
        <v>1.49</v>
      </c>
      <c r="U1396">
        <v>1.63</v>
      </c>
      <c r="V1396">
        <v>2.38</v>
      </c>
      <c r="W1396">
        <v>3.87</v>
      </c>
      <c r="X1396">
        <v>2.12</v>
      </c>
      <c r="Y1396">
        <v>1.74</v>
      </c>
      <c r="Z1396">
        <v>0.44</v>
      </c>
      <c r="AA1396">
        <v>5.43</v>
      </c>
      <c r="AB1396">
        <v>3.49</v>
      </c>
      <c r="AC1396">
        <v>0.8</v>
      </c>
      <c r="AD1396">
        <v>1.37</v>
      </c>
      <c r="AE1396">
        <v>6.84</v>
      </c>
      <c r="AF1396">
        <v>3.061666666666667</v>
      </c>
      <c r="AG1396" t="str">
        <f>HYPERLINK("https://finance.naver.com/item/fchart.naver?code=419120", "산돌 차트보기")</f>
        <v>산돌 차트보기</v>
      </c>
    </row>
    <row r="1397" spans="1:33" x14ac:dyDescent="0.3">
      <c r="A1397" t="s">
        <v>5615</v>
      </c>
      <c r="B1397" t="s">
        <v>34</v>
      </c>
      <c r="C1397" t="s">
        <v>5616</v>
      </c>
      <c r="D1397">
        <v>10568.86</v>
      </c>
      <c r="E1397" t="s">
        <v>5617</v>
      </c>
      <c r="F1397">
        <v>3.76</v>
      </c>
      <c r="G1397">
        <v>0.34999999403953552</v>
      </c>
      <c r="H1397">
        <v>2154</v>
      </c>
      <c r="I1397">
        <v>2.470000028610229</v>
      </c>
      <c r="J1397" t="s">
        <v>5618</v>
      </c>
      <c r="K1397">
        <v>9210</v>
      </c>
      <c r="L1397">
        <v>8100</v>
      </c>
      <c r="M1397">
        <v>-12.05</v>
      </c>
      <c r="N1397">
        <v>-7.22</v>
      </c>
      <c r="O1397">
        <v>-4.71</v>
      </c>
      <c r="P1397">
        <v>-5.18</v>
      </c>
      <c r="Q1397">
        <v>-7.29</v>
      </c>
      <c r="R1397">
        <v>5.42</v>
      </c>
      <c r="S1397">
        <v>12.97</v>
      </c>
      <c r="T1397">
        <v>1.7</v>
      </c>
      <c r="U1397">
        <v>1.1399999999999999</v>
      </c>
      <c r="V1397">
        <v>1.37</v>
      </c>
      <c r="W1397">
        <v>2.37</v>
      </c>
      <c r="X1397">
        <v>3.7</v>
      </c>
      <c r="Y1397">
        <v>7.67</v>
      </c>
      <c r="Z1397">
        <v>4.25</v>
      </c>
      <c r="AA1397">
        <v>4.13</v>
      </c>
      <c r="AB1397">
        <v>3.78</v>
      </c>
      <c r="AC1397">
        <v>3.08</v>
      </c>
      <c r="AD1397">
        <v>1.46</v>
      </c>
      <c r="AE1397">
        <v>1.69</v>
      </c>
      <c r="AF1397">
        <v>3.0649999999999999</v>
      </c>
      <c r="AG1397" t="str">
        <f>HYPERLINK("https://finance.naver.com/item/fchart.naver?code=006090", "사조오양 차트보기")</f>
        <v>사조오양 차트보기</v>
      </c>
    </row>
    <row r="1398" spans="1:33" x14ac:dyDescent="0.3">
      <c r="A1398" t="s">
        <v>5619</v>
      </c>
      <c r="B1398" t="s">
        <v>55</v>
      </c>
      <c r="C1398" t="s">
        <v>5620</v>
      </c>
      <c r="D1398">
        <v>76960.759999999995</v>
      </c>
      <c r="E1398" t="s">
        <v>5621</v>
      </c>
      <c r="F1398">
        <v>7.38</v>
      </c>
      <c r="G1398">
        <v>1.2400000095367429</v>
      </c>
      <c r="H1398">
        <v>837</v>
      </c>
      <c r="I1398">
        <v>0.81000000238418579</v>
      </c>
      <c r="J1398" t="s">
        <v>5622</v>
      </c>
      <c r="K1398">
        <v>11780</v>
      </c>
      <c r="L1398">
        <v>6180</v>
      </c>
      <c r="M1398">
        <v>-47.54</v>
      </c>
      <c r="N1398">
        <v>-1.75</v>
      </c>
      <c r="O1398">
        <v>-5.83</v>
      </c>
      <c r="P1398">
        <v>-8.82</v>
      </c>
      <c r="Q1398">
        <v>-18.09</v>
      </c>
      <c r="R1398">
        <v>-2.42</v>
      </c>
      <c r="S1398">
        <v>-12.97</v>
      </c>
      <c r="T1398">
        <v>2.69</v>
      </c>
      <c r="U1398">
        <v>2.62</v>
      </c>
      <c r="V1398">
        <v>3.38</v>
      </c>
      <c r="W1398">
        <v>5.31</v>
      </c>
      <c r="X1398">
        <v>1.95</v>
      </c>
      <c r="Y1398">
        <v>1.57</v>
      </c>
      <c r="Z1398">
        <v>0.65</v>
      </c>
      <c r="AA1398">
        <v>2.23</v>
      </c>
      <c r="AB1398">
        <v>2.61</v>
      </c>
      <c r="AC1398">
        <v>3.41</v>
      </c>
      <c r="AD1398">
        <v>1.24</v>
      </c>
      <c r="AE1398">
        <v>8.26</v>
      </c>
      <c r="AF1398">
        <v>3.066666666666666</v>
      </c>
      <c r="AG1398" t="str">
        <f>HYPERLINK("https://finance.naver.com/item/fchart.naver?code=445180", "퓨릿 차트보기")</f>
        <v>퓨릿 차트보기</v>
      </c>
    </row>
    <row r="1399" spans="1:33" x14ac:dyDescent="0.3">
      <c r="A1399" t="s">
        <v>5623</v>
      </c>
      <c r="B1399" t="s">
        <v>55</v>
      </c>
      <c r="C1399" t="s">
        <v>5624</v>
      </c>
      <c r="D1399">
        <v>202528.62</v>
      </c>
      <c r="E1399" t="s">
        <v>5625</v>
      </c>
      <c r="F1399">
        <v>0</v>
      </c>
      <c r="G1399">
        <v>2.440000057220459</v>
      </c>
      <c r="H1399">
        <v>0</v>
      </c>
      <c r="I1399">
        <v>0</v>
      </c>
      <c r="J1399" t="s">
        <v>5626</v>
      </c>
      <c r="K1399">
        <v>8840</v>
      </c>
      <c r="L1399">
        <v>5140</v>
      </c>
      <c r="M1399">
        <v>-41.86</v>
      </c>
      <c r="N1399">
        <v>0</v>
      </c>
      <c r="O1399">
        <v>-9.8000000000000007</v>
      </c>
      <c r="P1399">
        <v>-16.18</v>
      </c>
      <c r="Q1399">
        <v>-2.5499999999999998</v>
      </c>
      <c r="R1399">
        <v>4.3499999999999996</v>
      </c>
      <c r="S1399">
        <v>-22.32</v>
      </c>
      <c r="T1399">
        <v>2.75</v>
      </c>
      <c r="U1399">
        <v>2.74</v>
      </c>
      <c r="V1399">
        <v>2.5499999999999998</v>
      </c>
      <c r="W1399">
        <v>4.07</v>
      </c>
      <c r="X1399">
        <v>2.8</v>
      </c>
      <c r="Y1399">
        <v>3.55</v>
      </c>
      <c r="Z1399">
        <v>0</v>
      </c>
      <c r="AA1399">
        <v>3.58</v>
      </c>
      <c r="AB1399">
        <v>6.35</v>
      </c>
      <c r="AC1399">
        <v>0.63</v>
      </c>
      <c r="AD1399">
        <v>1.55</v>
      </c>
      <c r="AE1399">
        <v>6.29</v>
      </c>
      <c r="AF1399">
        <v>3.0666666666666669</v>
      </c>
      <c r="AG1399" t="str">
        <f>HYPERLINK("https://finance.naver.com/item/fchart.naver?code=235980", "메드팩토 차트보기")</f>
        <v>메드팩토 차트보기</v>
      </c>
    </row>
    <row r="1400" spans="1:33" x14ac:dyDescent="0.3">
      <c r="A1400" t="s">
        <v>5627</v>
      </c>
      <c r="B1400" t="s">
        <v>55</v>
      </c>
      <c r="C1400" t="s">
        <v>5628</v>
      </c>
      <c r="D1400">
        <v>2413.1</v>
      </c>
      <c r="E1400" t="s">
        <v>5629</v>
      </c>
      <c r="F1400">
        <v>0</v>
      </c>
      <c r="G1400">
        <v>0</v>
      </c>
      <c r="H1400">
        <v>0</v>
      </c>
      <c r="I1400">
        <v>0</v>
      </c>
      <c r="J1400" t="s">
        <v>5630</v>
      </c>
      <c r="K1400">
        <v>2055</v>
      </c>
      <c r="L1400">
        <v>2020</v>
      </c>
      <c r="M1400">
        <v>-1.7</v>
      </c>
      <c r="N1400">
        <v>-0.74</v>
      </c>
      <c r="O1400">
        <v>0.49</v>
      </c>
      <c r="P1400">
        <v>-0.74</v>
      </c>
      <c r="Q1400">
        <v>-1.92</v>
      </c>
      <c r="R1400">
        <v>1.47</v>
      </c>
      <c r="S1400">
        <v>-0.73</v>
      </c>
      <c r="T1400">
        <v>0.28000000000000003</v>
      </c>
      <c r="U1400">
        <v>0.36</v>
      </c>
      <c r="V1400">
        <v>0.48</v>
      </c>
      <c r="W1400">
        <v>0.54</v>
      </c>
      <c r="X1400">
        <v>0.23</v>
      </c>
      <c r="Y1400">
        <v>0.25</v>
      </c>
      <c r="Z1400">
        <v>2.64</v>
      </c>
      <c r="AA1400">
        <v>1.36</v>
      </c>
      <c r="AB1400">
        <v>1.54</v>
      </c>
      <c r="AC1400">
        <v>3.56</v>
      </c>
      <c r="AD1400">
        <v>6.39</v>
      </c>
      <c r="AE1400">
        <v>2.92</v>
      </c>
      <c r="AF1400">
        <v>3.0683333333333329</v>
      </c>
      <c r="AG1400" t="str">
        <f>HYPERLINK("https://finance.naver.com/item/fchart.naver?code=473370", "비엔케이제2호스팩 차트보기")</f>
        <v>비엔케이제2호스팩 차트보기</v>
      </c>
    </row>
    <row r="1401" spans="1:33" x14ac:dyDescent="0.3">
      <c r="A1401" t="s">
        <v>5631</v>
      </c>
      <c r="B1401" t="s">
        <v>55</v>
      </c>
      <c r="C1401" t="s">
        <v>5632</v>
      </c>
      <c r="D1401">
        <v>1080151.81</v>
      </c>
      <c r="E1401" t="s">
        <v>5633</v>
      </c>
      <c r="F1401">
        <v>27.78</v>
      </c>
      <c r="G1401">
        <v>0.99000000953674316</v>
      </c>
      <c r="H1401">
        <v>225</v>
      </c>
      <c r="I1401">
        <v>0</v>
      </c>
      <c r="J1401" t="s">
        <v>5634</v>
      </c>
      <c r="K1401">
        <v>6870</v>
      </c>
      <c r="L1401">
        <v>6250</v>
      </c>
      <c r="M1401">
        <v>-9.02</v>
      </c>
      <c r="N1401">
        <v>2.29</v>
      </c>
      <c r="O1401">
        <v>24.41</v>
      </c>
      <c r="P1401">
        <v>-4.97</v>
      </c>
      <c r="Q1401">
        <v>-20</v>
      </c>
      <c r="R1401">
        <v>19.41</v>
      </c>
      <c r="S1401">
        <v>-9.3699999999999992</v>
      </c>
      <c r="T1401">
        <v>4.99</v>
      </c>
      <c r="U1401">
        <v>5.58</v>
      </c>
      <c r="V1401">
        <v>2.66</v>
      </c>
      <c r="W1401">
        <v>4.72</v>
      </c>
      <c r="X1401">
        <v>6.91</v>
      </c>
      <c r="Y1401">
        <v>2.0099999999999998</v>
      </c>
      <c r="Z1401">
        <v>0.46</v>
      </c>
      <c r="AA1401">
        <v>4.37</v>
      </c>
      <c r="AB1401">
        <v>1.87</v>
      </c>
      <c r="AC1401">
        <v>4.24</v>
      </c>
      <c r="AD1401">
        <v>2.81</v>
      </c>
      <c r="AE1401">
        <v>4.66</v>
      </c>
      <c r="AF1401">
        <v>3.0683333333333338</v>
      </c>
      <c r="AG1401" t="str">
        <f>HYPERLINK("https://finance.naver.com/item/fchart.naver?code=237820", "플레이디 차트보기")</f>
        <v>플레이디 차트보기</v>
      </c>
    </row>
    <row r="1402" spans="1:33" x14ac:dyDescent="0.3">
      <c r="A1402" t="s">
        <v>5635</v>
      </c>
      <c r="B1402" t="s">
        <v>55</v>
      </c>
      <c r="C1402" t="s">
        <v>5636</v>
      </c>
      <c r="D1402">
        <v>60642</v>
      </c>
      <c r="E1402" t="s">
        <v>5637</v>
      </c>
      <c r="F1402">
        <v>3.86</v>
      </c>
      <c r="G1402">
        <v>0.49000000953674322</v>
      </c>
      <c r="H1402">
        <v>258</v>
      </c>
      <c r="I1402">
        <v>1</v>
      </c>
      <c r="J1402" t="s">
        <v>5638</v>
      </c>
      <c r="K1402">
        <v>1313</v>
      </c>
      <c r="L1402">
        <v>997</v>
      </c>
      <c r="M1402">
        <v>-24.07</v>
      </c>
      <c r="N1402">
        <v>1.1200000000000001</v>
      </c>
      <c r="O1402">
        <v>-3.75</v>
      </c>
      <c r="P1402">
        <v>-3.41</v>
      </c>
      <c r="Q1402">
        <v>-5.53</v>
      </c>
      <c r="R1402">
        <v>-2.5299999999999998</v>
      </c>
      <c r="S1402">
        <v>-4.87</v>
      </c>
      <c r="T1402">
        <v>0.79</v>
      </c>
      <c r="U1402">
        <v>0.82</v>
      </c>
      <c r="V1402">
        <v>1.75</v>
      </c>
      <c r="W1402">
        <v>2.58</v>
      </c>
      <c r="X1402">
        <v>0.83</v>
      </c>
      <c r="Y1402">
        <v>0.92</v>
      </c>
      <c r="Z1402">
        <v>1.42</v>
      </c>
      <c r="AA1402">
        <v>4.57</v>
      </c>
      <c r="AB1402">
        <v>1.95</v>
      </c>
      <c r="AC1402">
        <v>2.14</v>
      </c>
      <c r="AD1402">
        <v>3.05</v>
      </c>
      <c r="AE1402">
        <v>5.29</v>
      </c>
      <c r="AF1402">
        <v>3.07</v>
      </c>
      <c r="AG1402" t="str">
        <f>HYPERLINK("https://finance.naver.com/item/fchart.naver?code=246690", "TS인베스트먼트 차트보기")</f>
        <v>TS인베스트먼트 차트보기</v>
      </c>
    </row>
    <row r="1403" spans="1:33" x14ac:dyDescent="0.3">
      <c r="A1403" t="s">
        <v>5639</v>
      </c>
      <c r="B1403" t="s">
        <v>55</v>
      </c>
      <c r="C1403" t="s">
        <v>5640</v>
      </c>
      <c r="D1403">
        <v>251889.9</v>
      </c>
      <c r="E1403" t="s">
        <v>5641</v>
      </c>
      <c r="F1403">
        <v>0</v>
      </c>
      <c r="G1403">
        <v>0.8399999737739563</v>
      </c>
      <c r="H1403">
        <v>0</v>
      </c>
      <c r="I1403">
        <v>2.0699999332427979</v>
      </c>
      <c r="J1403" t="s">
        <v>5642</v>
      </c>
      <c r="K1403">
        <v>7450</v>
      </c>
      <c r="L1403">
        <v>6280</v>
      </c>
      <c r="M1403">
        <v>-15.7</v>
      </c>
      <c r="N1403">
        <v>-6.41</v>
      </c>
      <c r="O1403">
        <v>0.44</v>
      </c>
      <c r="P1403">
        <v>8.76</v>
      </c>
      <c r="Q1403">
        <v>-2.14</v>
      </c>
      <c r="R1403">
        <v>-22.6</v>
      </c>
      <c r="S1403">
        <v>13.03</v>
      </c>
      <c r="T1403">
        <v>3.68</v>
      </c>
      <c r="U1403">
        <v>3.73</v>
      </c>
      <c r="V1403">
        <v>3.37</v>
      </c>
      <c r="W1403">
        <v>4.45</v>
      </c>
      <c r="X1403">
        <v>2.3199999999999998</v>
      </c>
      <c r="Y1403">
        <v>3.48</v>
      </c>
      <c r="Z1403">
        <v>1.74</v>
      </c>
      <c r="AA1403">
        <v>0.12</v>
      </c>
      <c r="AB1403">
        <v>2.6</v>
      </c>
      <c r="AC1403">
        <v>0.48</v>
      </c>
      <c r="AD1403">
        <v>9.74</v>
      </c>
      <c r="AE1403">
        <v>3.74</v>
      </c>
      <c r="AF1403">
        <v>3.07</v>
      </c>
      <c r="AG1403" t="str">
        <f>HYPERLINK("https://finance.naver.com/item/fchart.naver?code=005160", "동국산업 차트보기")</f>
        <v>동국산업 차트보기</v>
      </c>
    </row>
    <row r="1404" spans="1:33" x14ac:dyDescent="0.3">
      <c r="A1404" t="s">
        <v>5643</v>
      </c>
      <c r="B1404" t="s">
        <v>34</v>
      </c>
      <c r="C1404" t="s">
        <v>5644</v>
      </c>
      <c r="D1404">
        <v>706236.05</v>
      </c>
      <c r="E1404" t="s">
        <v>5645</v>
      </c>
      <c r="F1404">
        <v>95.42</v>
      </c>
      <c r="G1404">
        <v>2.119999885559082</v>
      </c>
      <c r="H1404">
        <v>480</v>
      </c>
      <c r="I1404">
        <v>1.0900000333786011</v>
      </c>
      <c r="J1404" t="s">
        <v>5646</v>
      </c>
      <c r="K1404">
        <v>50300</v>
      </c>
      <c r="L1404">
        <v>45800</v>
      </c>
      <c r="M1404">
        <v>-8.9499999999999993</v>
      </c>
      <c r="N1404">
        <v>-22.37</v>
      </c>
      <c r="O1404">
        <v>-14.97</v>
      </c>
      <c r="P1404">
        <v>9.18</v>
      </c>
      <c r="Q1404">
        <v>26.52</v>
      </c>
      <c r="R1404">
        <v>2.58</v>
      </c>
      <c r="S1404">
        <v>-5.71</v>
      </c>
      <c r="T1404">
        <v>5.52</v>
      </c>
      <c r="U1404">
        <v>3.21</v>
      </c>
      <c r="V1404">
        <v>3.94</v>
      </c>
      <c r="W1404">
        <v>5.86</v>
      </c>
      <c r="X1404">
        <v>3.22</v>
      </c>
      <c r="Y1404">
        <v>2.78</v>
      </c>
      <c r="Z1404">
        <v>4.05</v>
      </c>
      <c r="AA1404">
        <v>4.66</v>
      </c>
      <c r="AB1404">
        <v>2.33</v>
      </c>
      <c r="AC1404">
        <v>4.53</v>
      </c>
      <c r="AD1404">
        <v>0.8</v>
      </c>
      <c r="AE1404">
        <v>2.0499999999999998</v>
      </c>
      <c r="AF1404">
        <v>3.07</v>
      </c>
      <c r="AG1404" t="str">
        <f>HYPERLINK("https://finance.naver.com/item/fchart.naver?code=112610", "씨에스윈드 차트보기")</f>
        <v>씨에스윈드 차트보기</v>
      </c>
    </row>
    <row r="1405" spans="1:33" x14ac:dyDescent="0.3">
      <c r="A1405" t="s">
        <v>5647</v>
      </c>
      <c r="B1405" t="s">
        <v>55</v>
      </c>
      <c r="C1405" t="s">
        <v>5648</v>
      </c>
      <c r="D1405">
        <v>174380.76</v>
      </c>
      <c r="E1405" t="s">
        <v>5649</v>
      </c>
      <c r="F1405">
        <v>0</v>
      </c>
      <c r="G1405">
        <v>1.190000057220459</v>
      </c>
      <c r="H1405">
        <v>0</v>
      </c>
      <c r="I1405">
        <v>0</v>
      </c>
      <c r="J1405" t="s">
        <v>5650</v>
      </c>
      <c r="K1405">
        <v>3065</v>
      </c>
      <c r="L1405">
        <v>2300</v>
      </c>
      <c r="M1405">
        <v>-24.96</v>
      </c>
      <c r="N1405">
        <v>4.07</v>
      </c>
      <c r="O1405">
        <v>-3.96</v>
      </c>
      <c r="P1405">
        <v>-1.88</v>
      </c>
      <c r="Q1405">
        <v>-12.96</v>
      </c>
      <c r="R1405">
        <v>-2.5499999999999998</v>
      </c>
      <c r="S1405">
        <v>-13.79</v>
      </c>
      <c r="T1405">
        <v>0.89</v>
      </c>
      <c r="U1405">
        <v>2.76</v>
      </c>
      <c r="V1405">
        <v>3.03</v>
      </c>
      <c r="W1405">
        <v>4.4000000000000004</v>
      </c>
      <c r="X1405">
        <v>3.44</v>
      </c>
      <c r="Y1405">
        <v>1.7</v>
      </c>
      <c r="Z1405">
        <v>4.57</v>
      </c>
      <c r="AA1405">
        <v>1.43</v>
      </c>
      <c r="AB1405">
        <v>0.62</v>
      </c>
      <c r="AC1405">
        <v>2.95</v>
      </c>
      <c r="AD1405">
        <v>0.74</v>
      </c>
      <c r="AE1405">
        <v>8.11</v>
      </c>
      <c r="AF1405">
        <v>3.07</v>
      </c>
      <c r="AG1405" t="str">
        <f>HYPERLINK("https://finance.naver.com/item/fchart.naver?code=046120", "오르비텍 차트보기")</f>
        <v>오르비텍 차트보기</v>
      </c>
    </row>
    <row r="1406" spans="1:33" x14ac:dyDescent="0.3">
      <c r="A1406" t="s">
        <v>5651</v>
      </c>
      <c r="B1406" t="s">
        <v>55</v>
      </c>
      <c r="C1406" t="s">
        <v>5652</v>
      </c>
      <c r="D1406">
        <v>959188.52</v>
      </c>
      <c r="E1406" t="s">
        <v>5653</v>
      </c>
      <c r="F1406">
        <v>0</v>
      </c>
      <c r="G1406">
        <v>0.9100000262260437</v>
      </c>
      <c r="H1406">
        <v>0</v>
      </c>
      <c r="I1406">
        <v>0</v>
      </c>
      <c r="J1406" t="s">
        <v>5654</v>
      </c>
      <c r="K1406">
        <v>4240</v>
      </c>
      <c r="L1406">
        <v>4160</v>
      </c>
      <c r="M1406">
        <v>-1.89</v>
      </c>
      <c r="N1406">
        <v>3.23</v>
      </c>
      <c r="O1406">
        <v>-11.75</v>
      </c>
      <c r="P1406">
        <v>43.24</v>
      </c>
      <c r="Q1406">
        <v>-13.59</v>
      </c>
      <c r="R1406">
        <v>5.56</v>
      </c>
      <c r="S1406">
        <v>-11.32</v>
      </c>
      <c r="T1406">
        <v>3.87</v>
      </c>
      <c r="U1406">
        <v>4.3499999999999996</v>
      </c>
      <c r="V1406">
        <v>9.2899999999999991</v>
      </c>
      <c r="W1406">
        <v>4.82</v>
      </c>
      <c r="X1406">
        <v>4.59</v>
      </c>
      <c r="Y1406">
        <v>1.82</v>
      </c>
      <c r="Z1406">
        <v>0.83</v>
      </c>
      <c r="AA1406">
        <v>2.7</v>
      </c>
      <c r="AB1406">
        <v>4.6500000000000004</v>
      </c>
      <c r="AC1406">
        <v>2.82</v>
      </c>
      <c r="AD1406">
        <v>1.21</v>
      </c>
      <c r="AE1406">
        <v>6.22</v>
      </c>
      <c r="AF1406">
        <v>3.0716666666666672</v>
      </c>
      <c r="AG1406" t="str">
        <f>HYPERLINK("https://finance.naver.com/item/fchart.naver?code=102370", "케이옥션 차트보기")</f>
        <v>케이옥션 차트보기</v>
      </c>
    </row>
    <row r="1407" spans="1:33" x14ac:dyDescent="0.3">
      <c r="A1407" t="s">
        <v>5655</v>
      </c>
      <c r="B1407" t="s">
        <v>55</v>
      </c>
      <c r="C1407" t="s">
        <v>5656</v>
      </c>
      <c r="D1407">
        <v>28473.33</v>
      </c>
      <c r="E1407" t="s">
        <v>5657</v>
      </c>
      <c r="F1407">
        <v>9.69</v>
      </c>
      <c r="G1407">
        <v>0.75999999046325684</v>
      </c>
      <c r="H1407">
        <v>1478</v>
      </c>
      <c r="I1407">
        <v>4.8899998664855957</v>
      </c>
      <c r="J1407" t="s">
        <v>5658</v>
      </c>
      <c r="K1407">
        <v>18680</v>
      </c>
      <c r="L1407">
        <v>14320</v>
      </c>
      <c r="M1407">
        <v>-23.34</v>
      </c>
      <c r="N1407">
        <v>-6.04</v>
      </c>
      <c r="O1407">
        <v>-3.82</v>
      </c>
      <c r="P1407">
        <v>-2.14</v>
      </c>
      <c r="Q1407">
        <v>-5.1100000000000003</v>
      </c>
      <c r="R1407">
        <v>6.03</v>
      </c>
      <c r="S1407">
        <v>-6.73</v>
      </c>
      <c r="T1407">
        <v>2.35</v>
      </c>
      <c r="U1407">
        <v>1</v>
      </c>
      <c r="V1407">
        <v>1.53</v>
      </c>
      <c r="W1407">
        <v>2.56</v>
      </c>
      <c r="X1407">
        <v>1.76</v>
      </c>
      <c r="Y1407">
        <v>1.29</v>
      </c>
      <c r="Z1407">
        <v>2.57</v>
      </c>
      <c r="AA1407">
        <v>3.82</v>
      </c>
      <c r="AB1407">
        <v>1.4</v>
      </c>
      <c r="AC1407">
        <v>2</v>
      </c>
      <c r="AD1407">
        <v>3.43</v>
      </c>
      <c r="AE1407">
        <v>5.22</v>
      </c>
      <c r="AF1407">
        <v>3.0733333333333328</v>
      </c>
      <c r="AG1407" t="str">
        <f>HYPERLINK("https://finance.naver.com/item/fchart.naver?code=089600", "나스미디어 차트보기")</f>
        <v>나스미디어 차트보기</v>
      </c>
    </row>
    <row r="1408" spans="1:33" x14ac:dyDescent="0.3">
      <c r="A1408" t="s">
        <v>5659</v>
      </c>
      <c r="B1408" t="s">
        <v>55</v>
      </c>
      <c r="C1408" t="s">
        <v>5660</v>
      </c>
      <c r="D1408">
        <v>52011.62</v>
      </c>
      <c r="E1408" t="s">
        <v>5661</v>
      </c>
      <c r="F1408">
        <v>0</v>
      </c>
      <c r="G1408">
        <v>0.52999997138977051</v>
      </c>
      <c r="H1408">
        <v>0</v>
      </c>
      <c r="I1408">
        <v>2.0399999618530269</v>
      </c>
      <c r="J1408" t="s">
        <v>5662</v>
      </c>
      <c r="K1408">
        <v>4195</v>
      </c>
      <c r="L1408">
        <v>3430</v>
      </c>
      <c r="M1408">
        <v>-18.239999999999998</v>
      </c>
      <c r="N1408">
        <v>3.16</v>
      </c>
      <c r="O1408">
        <v>-5.03</v>
      </c>
      <c r="P1408">
        <v>-7.2</v>
      </c>
      <c r="Q1408">
        <v>-7.8</v>
      </c>
      <c r="R1408">
        <v>-4.24</v>
      </c>
      <c r="S1408">
        <v>-7.89</v>
      </c>
      <c r="T1408">
        <v>1.65</v>
      </c>
      <c r="U1408">
        <v>1.72</v>
      </c>
      <c r="V1408">
        <v>1.54</v>
      </c>
      <c r="W1408">
        <v>3.25</v>
      </c>
      <c r="X1408">
        <v>1.33</v>
      </c>
      <c r="Y1408">
        <v>2.37</v>
      </c>
      <c r="Z1408">
        <v>1.92</v>
      </c>
      <c r="AA1408">
        <v>2.92</v>
      </c>
      <c r="AB1408">
        <v>4.68</v>
      </c>
      <c r="AC1408">
        <v>2.4</v>
      </c>
      <c r="AD1408">
        <v>3.19</v>
      </c>
      <c r="AE1408">
        <v>3.33</v>
      </c>
      <c r="AF1408">
        <v>3.0733333333333328</v>
      </c>
      <c r="AG1408" t="str">
        <f>HYPERLINK("https://finance.naver.com/item/fchart.naver?code=126600", "BGF에코머티리얼즈 차트보기")</f>
        <v>BGF에코머티리얼즈 차트보기</v>
      </c>
    </row>
    <row r="1409" spans="1:33" x14ac:dyDescent="0.3">
      <c r="A1409" t="s">
        <v>5663</v>
      </c>
      <c r="B1409" t="s">
        <v>55</v>
      </c>
      <c r="C1409" t="s">
        <v>5664</v>
      </c>
      <c r="D1409">
        <v>14336.57</v>
      </c>
      <c r="E1409" t="s">
        <v>5665</v>
      </c>
      <c r="F1409">
        <v>13.34</v>
      </c>
      <c r="G1409">
        <v>1.629999995231628</v>
      </c>
      <c r="H1409">
        <v>715</v>
      </c>
      <c r="I1409">
        <v>2.0999999046325679</v>
      </c>
      <c r="J1409" t="s">
        <v>5666</v>
      </c>
      <c r="K1409">
        <v>12170</v>
      </c>
      <c r="L1409">
        <v>9540</v>
      </c>
      <c r="M1409">
        <v>-21.61</v>
      </c>
      <c r="N1409">
        <v>-1.85</v>
      </c>
      <c r="O1409">
        <v>0.1</v>
      </c>
      <c r="P1409">
        <v>-5.39</v>
      </c>
      <c r="Q1409">
        <v>1.7</v>
      </c>
      <c r="R1409">
        <v>12.43</v>
      </c>
      <c r="S1409">
        <v>-15.74</v>
      </c>
      <c r="T1409">
        <v>1.22</v>
      </c>
      <c r="U1409">
        <v>1.42</v>
      </c>
      <c r="V1409">
        <v>1.76</v>
      </c>
      <c r="W1409">
        <v>3.45</v>
      </c>
      <c r="X1409">
        <v>3.87</v>
      </c>
      <c r="Y1409">
        <v>1.56</v>
      </c>
      <c r="Z1409">
        <v>1.52</v>
      </c>
      <c r="AA1409">
        <v>7.0000000000000007E-2</v>
      </c>
      <c r="AB1409">
        <v>3.06</v>
      </c>
      <c r="AC1409">
        <v>0.49</v>
      </c>
      <c r="AD1409">
        <v>3.21</v>
      </c>
      <c r="AE1409">
        <v>10.09</v>
      </c>
      <c r="AF1409">
        <v>3.0733333333333341</v>
      </c>
      <c r="AG1409" t="str">
        <f>HYPERLINK("https://finance.naver.com/item/fchart.naver?code=263860", "지니언스 차트보기")</f>
        <v>지니언스 차트보기</v>
      </c>
    </row>
    <row r="1410" spans="1:33" x14ac:dyDescent="0.3">
      <c r="A1410" t="s">
        <v>5667</v>
      </c>
      <c r="B1410" t="s">
        <v>55</v>
      </c>
      <c r="C1410" t="s">
        <v>5668</v>
      </c>
      <c r="D1410">
        <v>45036.38</v>
      </c>
      <c r="E1410" t="s">
        <v>5669</v>
      </c>
      <c r="F1410">
        <v>22.52</v>
      </c>
      <c r="G1410">
        <v>0.73000001907348633</v>
      </c>
      <c r="H1410">
        <v>294</v>
      </c>
      <c r="I1410">
        <v>1.5099999904632571</v>
      </c>
      <c r="J1410" t="s">
        <v>5670</v>
      </c>
      <c r="K1410">
        <v>9290</v>
      </c>
      <c r="L1410">
        <v>6620</v>
      </c>
      <c r="M1410">
        <v>-28.74</v>
      </c>
      <c r="N1410">
        <v>-1.93</v>
      </c>
      <c r="O1410">
        <v>-5.52</v>
      </c>
      <c r="P1410">
        <v>0</v>
      </c>
      <c r="Q1410">
        <v>-7.81</v>
      </c>
      <c r="R1410">
        <v>-9.31</v>
      </c>
      <c r="S1410">
        <v>-2.2200000000000002</v>
      </c>
      <c r="T1410">
        <v>1.71</v>
      </c>
      <c r="U1410">
        <v>1.75</v>
      </c>
      <c r="V1410">
        <v>1.86</v>
      </c>
      <c r="W1410">
        <v>2.02</v>
      </c>
      <c r="X1410">
        <v>1.06</v>
      </c>
      <c r="Y1410">
        <v>1.47</v>
      </c>
      <c r="Z1410">
        <v>1.1299999999999999</v>
      </c>
      <c r="AA1410">
        <v>3.15</v>
      </c>
      <c r="AB1410">
        <v>0</v>
      </c>
      <c r="AC1410">
        <v>3.87</v>
      </c>
      <c r="AD1410">
        <v>8.7799999999999994</v>
      </c>
      <c r="AE1410">
        <v>1.51</v>
      </c>
      <c r="AF1410">
        <v>3.0733333333333341</v>
      </c>
      <c r="AG1410" t="str">
        <f>HYPERLINK("https://finance.naver.com/item/fchart.naver?code=066310", "큐에스아이 차트보기")</f>
        <v>큐에스아이 차트보기</v>
      </c>
    </row>
    <row r="1411" spans="1:33" x14ac:dyDescent="0.3">
      <c r="A1411" t="s">
        <v>5671</v>
      </c>
      <c r="B1411" t="s">
        <v>55</v>
      </c>
      <c r="C1411" t="s">
        <v>5672</v>
      </c>
      <c r="D1411">
        <v>404828.86</v>
      </c>
      <c r="E1411" t="s">
        <v>5673</v>
      </c>
      <c r="F1411">
        <v>0</v>
      </c>
      <c r="G1411">
        <v>0.61000001430511475</v>
      </c>
      <c r="H1411">
        <v>0</v>
      </c>
      <c r="I1411">
        <v>0</v>
      </c>
      <c r="J1411" t="s">
        <v>5674</v>
      </c>
      <c r="K1411">
        <v>624</v>
      </c>
      <c r="L1411">
        <v>363</v>
      </c>
      <c r="M1411">
        <v>-41.83</v>
      </c>
      <c r="N1411">
        <v>-7.63</v>
      </c>
      <c r="O1411">
        <v>-6.47</v>
      </c>
      <c r="P1411">
        <v>4.55</v>
      </c>
      <c r="Q1411">
        <v>2.27</v>
      </c>
      <c r="R1411">
        <v>-19.920000000000002</v>
      </c>
      <c r="S1411">
        <v>-17.7</v>
      </c>
      <c r="T1411">
        <v>2.58</v>
      </c>
      <c r="U1411">
        <v>3.17</v>
      </c>
      <c r="V1411">
        <v>12.04</v>
      </c>
      <c r="W1411">
        <v>9.06</v>
      </c>
      <c r="X1411">
        <v>3.02</v>
      </c>
      <c r="Y1411">
        <v>2.85</v>
      </c>
      <c r="Z1411">
        <v>2.96</v>
      </c>
      <c r="AA1411">
        <v>2.04</v>
      </c>
      <c r="AB1411">
        <v>0.38</v>
      </c>
      <c r="AC1411">
        <v>0.25</v>
      </c>
      <c r="AD1411">
        <v>6.6</v>
      </c>
      <c r="AE1411">
        <v>6.21</v>
      </c>
      <c r="AF1411">
        <v>3.0733333333333341</v>
      </c>
      <c r="AG1411" t="str">
        <f>HYPERLINK("https://finance.naver.com/item/fchart.naver?code=019570", "플루토스 차트보기")</f>
        <v>플루토스 차트보기</v>
      </c>
    </row>
    <row r="1412" spans="1:33" x14ac:dyDescent="0.3">
      <c r="A1412" t="s">
        <v>5675</v>
      </c>
      <c r="B1412" t="s">
        <v>55</v>
      </c>
      <c r="C1412" t="s">
        <v>5676</v>
      </c>
      <c r="D1412">
        <v>33315.71</v>
      </c>
      <c r="E1412" t="s">
        <v>5677</v>
      </c>
      <c r="F1412">
        <v>25.91</v>
      </c>
      <c r="G1412">
        <v>0.64999997615814209</v>
      </c>
      <c r="H1412">
        <v>301</v>
      </c>
      <c r="I1412">
        <v>2.0499999523162842</v>
      </c>
      <c r="J1412" t="s">
        <v>5678</v>
      </c>
      <c r="K1412">
        <v>7700</v>
      </c>
      <c r="L1412">
        <v>7800</v>
      </c>
      <c r="M1412">
        <v>1.3</v>
      </c>
      <c r="N1412">
        <v>-6.02</v>
      </c>
      <c r="O1412">
        <v>3.91</v>
      </c>
      <c r="P1412">
        <v>-5.1100000000000003</v>
      </c>
      <c r="Q1412">
        <v>23.61</v>
      </c>
      <c r="R1412">
        <v>-5.35</v>
      </c>
      <c r="S1412">
        <v>-5.47</v>
      </c>
      <c r="T1412">
        <v>4.38</v>
      </c>
      <c r="U1412">
        <v>1.88</v>
      </c>
      <c r="V1412">
        <v>2.34</v>
      </c>
      <c r="W1412">
        <v>5.22</v>
      </c>
      <c r="X1412">
        <v>1.35</v>
      </c>
      <c r="Y1412">
        <v>1.26</v>
      </c>
      <c r="Z1412">
        <v>1.37</v>
      </c>
      <c r="AA1412">
        <v>2.08</v>
      </c>
      <c r="AB1412">
        <v>2.1800000000000002</v>
      </c>
      <c r="AC1412">
        <v>4.5199999999999996</v>
      </c>
      <c r="AD1412">
        <v>3.96</v>
      </c>
      <c r="AE1412">
        <v>4.34</v>
      </c>
      <c r="AF1412">
        <v>3.0750000000000002</v>
      </c>
      <c r="AG1412" t="str">
        <f>HYPERLINK("https://finance.naver.com/item/fchart.naver?code=079170", "한창산업 차트보기")</f>
        <v>한창산업 차트보기</v>
      </c>
    </row>
    <row r="1413" spans="1:33" x14ac:dyDescent="0.3">
      <c r="A1413" t="s">
        <v>5679</v>
      </c>
      <c r="B1413" t="s">
        <v>55</v>
      </c>
      <c r="C1413" t="s">
        <v>5680</v>
      </c>
      <c r="D1413">
        <v>9232.3799999999992</v>
      </c>
      <c r="E1413" t="s">
        <v>5681</v>
      </c>
      <c r="F1413">
        <v>0</v>
      </c>
      <c r="G1413">
        <v>0</v>
      </c>
      <c r="H1413">
        <v>0</v>
      </c>
      <c r="I1413">
        <v>0</v>
      </c>
      <c r="J1413" t="s">
        <v>5682</v>
      </c>
      <c r="K1413">
        <v>2195</v>
      </c>
      <c r="L1413">
        <v>2195</v>
      </c>
      <c r="M1413">
        <v>0</v>
      </c>
      <c r="N1413">
        <v>-2.44</v>
      </c>
      <c r="O1413">
        <v>-3.49</v>
      </c>
      <c r="P1413">
        <v>-0.22</v>
      </c>
      <c r="Q1413">
        <v>-4.4800000000000004</v>
      </c>
      <c r="R1413">
        <v>1.3</v>
      </c>
      <c r="S1413">
        <v>6.22</v>
      </c>
      <c r="T1413">
        <v>1.63</v>
      </c>
      <c r="U1413">
        <v>1.28</v>
      </c>
      <c r="V1413">
        <v>1.1399999999999999</v>
      </c>
      <c r="W1413">
        <v>1.3</v>
      </c>
      <c r="X1413">
        <v>0.67</v>
      </c>
      <c r="Y1413">
        <v>0.72</v>
      </c>
      <c r="Z1413">
        <v>1.5</v>
      </c>
      <c r="AA1413">
        <v>2.73</v>
      </c>
      <c r="AB1413">
        <v>0.19</v>
      </c>
      <c r="AC1413">
        <v>3.45</v>
      </c>
      <c r="AD1413">
        <v>1.94</v>
      </c>
      <c r="AE1413">
        <v>8.64</v>
      </c>
      <c r="AF1413">
        <v>3.0750000000000011</v>
      </c>
      <c r="AG1413" t="str">
        <f>HYPERLINK("https://finance.naver.com/item/fchart.naver?code=446190", "미래에셋비전스팩2호 차트보기")</f>
        <v>미래에셋비전스팩2호 차트보기</v>
      </c>
    </row>
    <row r="1414" spans="1:33" x14ac:dyDescent="0.3">
      <c r="A1414" t="s">
        <v>5683</v>
      </c>
      <c r="B1414" t="s">
        <v>34</v>
      </c>
      <c r="C1414" t="s">
        <v>5684</v>
      </c>
      <c r="D1414">
        <v>95848.52</v>
      </c>
      <c r="E1414" t="s">
        <v>5685</v>
      </c>
      <c r="F1414">
        <v>0</v>
      </c>
      <c r="G1414">
        <v>2.0799999237060551</v>
      </c>
      <c r="H1414">
        <v>0</v>
      </c>
      <c r="I1414">
        <v>0</v>
      </c>
      <c r="J1414" t="s">
        <v>5686</v>
      </c>
      <c r="K1414">
        <v>15310</v>
      </c>
      <c r="L1414">
        <v>12630</v>
      </c>
      <c r="M1414">
        <v>-17.5</v>
      </c>
      <c r="N1414">
        <v>-6.03</v>
      </c>
      <c r="O1414">
        <v>-2.58</v>
      </c>
      <c r="P1414">
        <v>-7.28</v>
      </c>
      <c r="Q1414">
        <v>5.87</v>
      </c>
      <c r="R1414">
        <v>4.42</v>
      </c>
      <c r="S1414">
        <v>-5.59</v>
      </c>
      <c r="T1414">
        <v>1.48</v>
      </c>
      <c r="U1414">
        <v>1.72</v>
      </c>
      <c r="V1414">
        <v>1.85</v>
      </c>
      <c r="W1414">
        <v>6.11</v>
      </c>
      <c r="X1414">
        <v>1.84</v>
      </c>
      <c r="Y1414">
        <v>1</v>
      </c>
      <c r="Z1414">
        <v>4.07</v>
      </c>
      <c r="AA1414">
        <v>1.5</v>
      </c>
      <c r="AB1414">
        <v>3.94</v>
      </c>
      <c r="AC1414">
        <v>0.96</v>
      </c>
      <c r="AD1414">
        <v>2.4</v>
      </c>
      <c r="AE1414">
        <v>5.59</v>
      </c>
      <c r="AF1414">
        <v>3.0766666666666671</v>
      </c>
      <c r="AG1414" t="str">
        <f>HYPERLINK("https://finance.naver.com/item/fchart.naver?code=249420", "일동제약 차트보기")</f>
        <v>일동제약 차트보기</v>
      </c>
    </row>
    <row r="1415" spans="1:33" x14ac:dyDescent="0.3">
      <c r="A1415" t="s">
        <v>5687</v>
      </c>
      <c r="B1415" t="s">
        <v>55</v>
      </c>
      <c r="C1415" t="s">
        <v>5688</v>
      </c>
      <c r="D1415">
        <v>20175.099999999999</v>
      </c>
      <c r="E1415" t="s">
        <v>5689</v>
      </c>
      <c r="F1415">
        <v>4.1100000000000003</v>
      </c>
      <c r="G1415">
        <v>0.33000001311302191</v>
      </c>
      <c r="H1415">
        <v>370</v>
      </c>
      <c r="I1415">
        <v>3.2899999618530269</v>
      </c>
      <c r="J1415" t="s">
        <v>5690</v>
      </c>
      <c r="K1415">
        <v>1924</v>
      </c>
      <c r="L1415">
        <v>1521</v>
      </c>
      <c r="M1415">
        <v>-20.95</v>
      </c>
      <c r="N1415">
        <v>-0.52</v>
      </c>
      <c r="O1415">
        <v>-3.44</v>
      </c>
      <c r="P1415">
        <v>0.93</v>
      </c>
      <c r="Q1415">
        <v>-4.7300000000000004</v>
      </c>
      <c r="R1415">
        <v>-2.4300000000000002</v>
      </c>
      <c r="S1415">
        <v>-6.53</v>
      </c>
      <c r="T1415">
        <v>1.04</v>
      </c>
      <c r="U1415">
        <v>0.69</v>
      </c>
      <c r="V1415">
        <v>2.0099999999999998</v>
      </c>
      <c r="W1415">
        <v>3.88</v>
      </c>
      <c r="X1415">
        <v>1.44</v>
      </c>
      <c r="Y1415">
        <v>0.68</v>
      </c>
      <c r="Z1415">
        <v>0.5</v>
      </c>
      <c r="AA1415">
        <v>4.99</v>
      </c>
      <c r="AB1415">
        <v>0.46</v>
      </c>
      <c r="AC1415">
        <v>1.22</v>
      </c>
      <c r="AD1415">
        <v>1.69</v>
      </c>
      <c r="AE1415">
        <v>9.6</v>
      </c>
      <c r="AF1415">
        <v>3.0766666666666671</v>
      </c>
      <c r="AG1415" t="str">
        <f>HYPERLINK("https://finance.naver.com/item/fchart.naver?code=037330", "인지디스플레 차트보기")</f>
        <v>인지디스플레 차트보기</v>
      </c>
    </row>
    <row r="1416" spans="1:33" x14ac:dyDescent="0.3">
      <c r="A1416" t="s">
        <v>5691</v>
      </c>
      <c r="B1416" t="s">
        <v>34</v>
      </c>
      <c r="C1416" t="s">
        <v>5692</v>
      </c>
      <c r="D1416">
        <v>1420463.81</v>
      </c>
      <c r="E1416" t="s">
        <v>5693</v>
      </c>
      <c r="F1416">
        <v>8.08</v>
      </c>
      <c r="G1416">
        <v>0.62000000476837158</v>
      </c>
      <c r="H1416">
        <v>386</v>
      </c>
      <c r="I1416">
        <v>3.2100000381469731</v>
      </c>
      <c r="J1416" t="s">
        <v>5694</v>
      </c>
      <c r="K1416">
        <v>3315</v>
      </c>
      <c r="L1416">
        <v>3120</v>
      </c>
      <c r="M1416">
        <v>-5.88</v>
      </c>
      <c r="N1416">
        <v>11.63</v>
      </c>
      <c r="O1416">
        <v>-6.56</v>
      </c>
      <c r="P1416">
        <v>16.2</v>
      </c>
      <c r="Q1416">
        <v>-16.43</v>
      </c>
      <c r="R1416">
        <v>-4.8899999999999997</v>
      </c>
      <c r="S1416">
        <v>-0.61</v>
      </c>
      <c r="T1416">
        <v>2.46</v>
      </c>
      <c r="U1416">
        <v>2.91</v>
      </c>
      <c r="V1416">
        <v>4.49</v>
      </c>
      <c r="W1416">
        <v>4.04</v>
      </c>
      <c r="X1416">
        <v>1.45</v>
      </c>
      <c r="Y1416">
        <v>1.4</v>
      </c>
      <c r="Z1416">
        <v>4.7300000000000004</v>
      </c>
      <c r="AA1416">
        <v>2.25</v>
      </c>
      <c r="AB1416">
        <v>3.61</v>
      </c>
      <c r="AC1416">
        <v>4.07</v>
      </c>
      <c r="AD1416">
        <v>3.37</v>
      </c>
      <c r="AE1416">
        <v>0.44</v>
      </c>
      <c r="AF1416">
        <v>3.078333333333334</v>
      </c>
      <c r="AG1416" t="str">
        <f>HYPERLINK("https://finance.naver.com/item/fchart.naver?code=058850", "KTcs 차트보기")</f>
        <v>KTcs 차트보기</v>
      </c>
    </row>
    <row r="1417" spans="1:33" x14ac:dyDescent="0.3">
      <c r="A1417" t="s">
        <v>5695</v>
      </c>
      <c r="B1417" t="s">
        <v>55</v>
      </c>
      <c r="C1417" t="s">
        <v>5696</v>
      </c>
      <c r="D1417">
        <v>1751393.52</v>
      </c>
      <c r="E1417" t="s">
        <v>5697</v>
      </c>
      <c r="F1417">
        <v>105.56</v>
      </c>
      <c r="G1417">
        <v>0.73000001907348633</v>
      </c>
      <c r="H1417">
        <v>18</v>
      </c>
      <c r="I1417">
        <v>0</v>
      </c>
      <c r="J1417" t="s">
        <v>5698</v>
      </c>
      <c r="K1417">
        <v>2375</v>
      </c>
      <c r="L1417">
        <v>1900</v>
      </c>
      <c r="M1417">
        <v>-20</v>
      </c>
      <c r="N1417">
        <v>-2.66</v>
      </c>
      <c r="O1417">
        <v>2.25</v>
      </c>
      <c r="P1417">
        <v>5.09</v>
      </c>
      <c r="Q1417">
        <v>-19.91</v>
      </c>
      <c r="R1417">
        <v>-19</v>
      </c>
      <c r="S1417">
        <v>-11.39</v>
      </c>
      <c r="T1417">
        <v>2.78</v>
      </c>
      <c r="U1417">
        <v>8.3000000000000007</v>
      </c>
      <c r="V1417">
        <v>2.48</v>
      </c>
      <c r="W1417">
        <v>4.6500000000000004</v>
      </c>
      <c r="X1417">
        <v>2.54</v>
      </c>
      <c r="Y1417">
        <v>3.32</v>
      </c>
      <c r="Z1417">
        <v>0.96</v>
      </c>
      <c r="AA1417">
        <v>0.27</v>
      </c>
      <c r="AB1417">
        <v>2.0499999999999998</v>
      </c>
      <c r="AC1417">
        <v>4.28</v>
      </c>
      <c r="AD1417">
        <v>7.48</v>
      </c>
      <c r="AE1417">
        <v>3.43</v>
      </c>
      <c r="AF1417">
        <v>3.078333333333334</v>
      </c>
      <c r="AG1417" t="str">
        <f>HYPERLINK("https://finance.naver.com/item/fchart.naver?code=066980", "한성크린텍 차트보기")</f>
        <v>한성크린텍 차트보기</v>
      </c>
    </row>
    <row r="1418" spans="1:33" x14ac:dyDescent="0.3">
      <c r="A1418" t="s">
        <v>5699</v>
      </c>
      <c r="B1418" t="s">
        <v>55</v>
      </c>
      <c r="C1418" t="s">
        <v>5700</v>
      </c>
      <c r="D1418">
        <v>598139.86</v>
      </c>
      <c r="E1418" t="s">
        <v>5701</v>
      </c>
      <c r="F1418">
        <v>0</v>
      </c>
      <c r="G1418">
        <v>1.879999995231628</v>
      </c>
      <c r="H1418">
        <v>0</v>
      </c>
      <c r="I1418">
        <v>0.37999999523162842</v>
      </c>
      <c r="J1418" t="s">
        <v>5702</v>
      </c>
      <c r="K1418">
        <v>8960</v>
      </c>
      <c r="L1418">
        <v>10480</v>
      </c>
      <c r="M1418">
        <v>16.96</v>
      </c>
      <c r="N1418">
        <v>12.45</v>
      </c>
      <c r="O1418">
        <v>8.56</v>
      </c>
      <c r="P1418">
        <v>-4.76</v>
      </c>
      <c r="Q1418">
        <v>-18.75</v>
      </c>
      <c r="R1418">
        <v>31.64</v>
      </c>
      <c r="S1418">
        <v>-6.52</v>
      </c>
      <c r="T1418">
        <v>8.4</v>
      </c>
      <c r="U1418">
        <v>3.58</v>
      </c>
      <c r="V1418">
        <v>3.41</v>
      </c>
      <c r="W1418">
        <v>4.75</v>
      </c>
      <c r="X1418">
        <v>7.15</v>
      </c>
      <c r="Y1418">
        <v>1.35</v>
      </c>
      <c r="Z1418">
        <v>1.48</v>
      </c>
      <c r="AA1418">
        <v>2.39</v>
      </c>
      <c r="AB1418">
        <v>1.4</v>
      </c>
      <c r="AC1418">
        <v>3.95</v>
      </c>
      <c r="AD1418">
        <v>4.43</v>
      </c>
      <c r="AE1418">
        <v>4.83</v>
      </c>
      <c r="AF1418">
        <v>3.08</v>
      </c>
      <c r="AG1418" t="str">
        <f>HYPERLINK("https://finance.naver.com/item/fchart.naver?code=317850", "대모 차트보기")</f>
        <v>대모 차트보기</v>
      </c>
    </row>
    <row r="1419" spans="1:33" x14ac:dyDescent="0.3">
      <c r="A1419" t="s">
        <v>5703</v>
      </c>
      <c r="B1419" t="s">
        <v>55</v>
      </c>
      <c r="C1419" t="s">
        <v>5704</v>
      </c>
      <c r="D1419">
        <v>12292.67</v>
      </c>
      <c r="E1419" t="s">
        <v>5705</v>
      </c>
      <c r="F1419">
        <v>9.17</v>
      </c>
      <c r="G1419">
        <v>0.33000001311302191</v>
      </c>
      <c r="H1419">
        <v>260</v>
      </c>
      <c r="I1419">
        <v>2.0999999046325679</v>
      </c>
      <c r="J1419" t="s">
        <v>5706</v>
      </c>
      <c r="K1419">
        <v>3500</v>
      </c>
      <c r="L1419">
        <v>2385</v>
      </c>
      <c r="M1419">
        <v>-31.86</v>
      </c>
      <c r="N1419">
        <v>-5.36</v>
      </c>
      <c r="O1419">
        <v>-6.26</v>
      </c>
      <c r="P1419">
        <v>-0.18</v>
      </c>
      <c r="Q1419">
        <v>-10.130000000000001</v>
      </c>
      <c r="R1419">
        <v>-5.25</v>
      </c>
      <c r="S1419">
        <v>-3.46</v>
      </c>
      <c r="T1419">
        <v>1.49</v>
      </c>
      <c r="U1419">
        <v>1.64</v>
      </c>
      <c r="V1419">
        <v>0.69</v>
      </c>
      <c r="W1419">
        <v>2.86</v>
      </c>
      <c r="X1419">
        <v>1.1100000000000001</v>
      </c>
      <c r="Y1419">
        <v>1.37</v>
      </c>
      <c r="Z1419">
        <v>3.6</v>
      </c>
      <c r="AA1419">
        <v>3.82</v>
      </c>
      <c r="AB1419">
        <v>0.26</v>
      </c>
      <c r="AC1419">
        <v>3.54</v>
      </c>
      <c r="AD1419">
        <v>4.7300000000000004</v>
      </c>
      <c r="AE1419">
        <v>2.5299999999999998</v>
      </c>
      <c r="AF1419">
        <v>3.08</v>
      </c>
      <c r="AG1419" t="str">
        <f>HYPERLINK("https://finance.naver.com/item/fchart.naver?code=040160", "누리플렉스 차트보기")</f>
        <v>누리플렉스 차트보기</v>
      </c>
    </row>
    <row r="1420" spans="1:33" x14ac:dyDescent="0.3">
      <c r="A1420" t="s">
        <v>5707</v>
      </c>
      <c r="B1420" t="s">
        <v>55</v>
      </c>
      <c r="C1420" t="s">
        <v>5708</v>
      </c>
      <c r="D1420">
        <v>39498.050000000003</v>
      </c>
      <c r="E1420" t="s">
        <v>5709</v>
      </c>
      <c r="F1420">
        <v>0</v>
      </c>
      <c r="G1420">
        <v>1.0399999618530269</v>
      </c>
      <c r="H1420">
        <v>0</v>
      </c>
      <c r="I1420">
        <v>1.809999942779541</v>
      </c>
      <c r="J1420" t="s">
        <v>5710</v>
      </c>
      <c r="K1420">
        <v>22100</v>
      </c>
      <c r="L1420">
        <v>16600</v>
      </c>
      <c r="M1420">
        <v>-24.89</v>
      </c>
      <c r="N1420">
        <v>-2.92</v>
      </c>
      <c r="O1420">
        <v>2.19</v>
      </c>
      <c r="P1420">
        <v>-4.4000000000000004</v>
      </c>
      <c r="Q1420">
        <v>-13.38</v>
      </c>
      <c r="R1420">
        <v>13.56</v>
      </c>
      <c r="S1420">
        <v>-8.4</v>
      </c>
      <c r="T1420">
        <v>1.78</v>
      </c>
      <c r="U1420">
        <v>1.61</v>
      </c>
      <c r="V1420">
        <v>1.58</v>
      </c>
      <c r="W1420">
        <v>4.16</v>
      </c>
      <c r="X1420">
        <v>5.58</v>
      </c>
      <c r="Y1420">
        <v>1.19</v>
      </c>
      <c r="Z1420">
        <v>1.64</v>
      </c>
      <c r="AA1420">
        <v>1.36</v>
      </c>
      <c r="AB1420">
        <v>2.78</v>
      </c>
      <c r="AC1420">
        <v>3.22</v>
      </c>
      <c r="AD1420">
        <v>2.4300000000000002</v>
      </c>
      <c r="AE1420">
        <v>7.06</v>
      </c>
      <c r="AF1420">
        <v>3.081666666666667</v>
      </c>
      <c r="AG1420" t="str">
        <f>HYPERLINK("https://finance.naver.com/item/fchart.naver?code=038290", "마크로젠 차트보기")</f>
        <v>마크로젠 차트보기</v>
      </c>
    </row>
    <row r="1421" spans="1:33" x14ac:dyDescent="0.3">
      <c r="A1421" t="s">
        <v>5711</v>
      </c>
      <c r="B1421" t="s">
        <v>34</v>
      </c>
      <c r="C1421" t="s">
        <v>5712</v>
      </c>
      <c r="D1421">
        <v>84643.1</v>
      </c>
      <c r="E1421" t="s">
        <v>5713</v>
      </c>
      <c r="F1421">
        <v>0</v>
      </c>
      <c r="G1421">
        <v>0.34999999403953552</v>
      </c>
      <c r="H1421">
        <v>0</v>
      </c>
      <c r="I1421">
        <v>4.7100000381469727</v>
      </c>
      <c r="J1421" t="s">
        <v>5714</v>
      </c>
      <c r="K1421">
        <v>3265</v>
      </c>
      <c r="L1421">
        <v>2550</v>
      </c>
      <c r="M1421">
        <v>-21.9</v>
      </c>
      <c r="N1421">
        <v>-3.41</v>
      </c>
      <c r="O1421">
        <v>0</v>
      </c>
      <c r="P1421">
        <v>-1.48</v>
      </c>
      <c r="Q1421">
        <v>-5.73</v>
      </c>
      <c r="R1421">
        <v>-5.34</v>
      </c>
      <c r="S1421">
        <v>-3.85</v>
      </c>
      <c r="T1421">
        <v>1.0900000000000001</v>
      </c>
      <c r="U1421">
        <v>1.08</v>
      </c>
      <c r="V1421">
        <v>1.54</v>
      </c>
      <c r="W1421">
        <v>3.37</v>
      </c>
      <c r="X1421">
        <v>0.57999999999999996</v>
      </c>
      <c r="Y1421">
        <v>1.1000000000000001</v>
      </c>
      <c r="Z1421">
        <v>3.13</v>
      </c>
      <c r="AA1421">
        <v>0</v>
      </c>
      <c r="AB1421">
        <v>0.96</v>
      </c>
      <c r="AC1421">
        <v>1.7</v>
      </c>
      <c r="AD1421">
        <v>9.2100000000000009</v>
      </c>
      <c r="AE1421">
        <v>3.5</v>
      </c>
      <c r="AF1421">
        <v>3.083333333333333</v>
      </c>
      <c r="AG1421" t="str">
        <f>HYPERLINK("https://finance.naver.com/item/fchart.naver?code=037560", "LG헬로비전 차트보기")</f>
        <v>LG헬로비전 차트보기</v>
      </c>
    </row>
    <row r="1422" spans="1:33" x14ac:dyDescent="0.3">
      <c r="A1422" t="s">
        <v>5715</v>
      </c>
      <c r="B1422" t="s">
        <v>34</v>
      </c>
      <c r="C1422" t="s">
        <v>5716</v>
      </c>
      <c r="D1422">
        <v>42137.48</v>
      </c>
      <c r="E1422" t="s">
        <v>5717</v>
      </c>
      <c r="F1422">
        <v>8.75</v>
      </c>
      <c r="G1422">
        <v>0.76999998092651367</v>
      </c>
      <c r="H1422">
        <v>3275</v>
      </c>
      <c r="I1422">
        <v>4.190000057220459</v>
      </c>
      <c r="J1422" t="s">
        <v>5718</v>
      </c>
      <c r="K1422">
        <v>27200</v>
      </c>
      <c r="L1422">
        <v>28650</v>
      </c>
      <c r="M1422">
        <v>5.33</v>
      </c>
      <c r="N1422">
        <v>0</v>
      </c>
      <c r="O1422">
        <v>-4.95</v>
      </c>
      <c r="P1422">
        <v>-4.41</v>
      </c>
      <c r="Q1422">
        <v>3.64</v>
      </c>
      <c r="R1422">
        <v>-3.37</v>
      </c>
      <c r="S1422">
        <v>11.21</v>
      </c>
      <c r="T1422">
        <v>2.44</v>
      </c>
      <c r="U1422">
        <v>1.1499999999999999</v>
      </c>
      <c r="V1422">
        <v>1.68</v>
      </c>
      <c r="W1422">
        <v>2.4</v>
      </c>
      <c r="X1422">
        <v>1.1200000000000001</v>
      </c>
      <c r="Y1422">
        <v>1.59</v>
      </c>
      <c r="Z1422">
        <v>0</v>
      </c>
      <c r="AA1422">
        <v>4.3</v>
      </c>
      <c r="AB1422">
        <v>2.62</v>
      </c>
      <c r="AC1422">
        <v>1.52</v>
      </c>
      <c r="AD1422">
        <v>3.01</v>
      </c>
      <c r="AE1422">
        <v>7.05</v>
      </c>
      <c r="AF1422">
        <v>3.083333333333333</v>
      </c>
      <c r="AG1422" t="str">
        <f>HYPERLINK("https://finance.naver.com/item/fchart.naver?code=089860", "롯데렌탈 차트보기")</f>
        <v>롯데렌탈 차트보기</v>
      </c>
    </row>
    <row r="1423" spans="1:33" x14ac:dyDescent="0.3">
      <c r="A1423" t="s">
        <v>5719</v>
      </c>
      <c r="B1423" t="s">
        <v>55</v>
      </c>
      <c r="C1423" t="s">
        <v>5720</v>
      </c>
      <c r="D1423">
        <v>677710.29</v>
      </c>
      <c r="E1423" t="s">
        <v>5721</v>
      </c>
      <c r="F1423">
        <v>23.05</v>
      </c>
      <c r="G1423">
        <v>0.98000001907348633</v>
      </c>
      <c r="H1423">
        <v>123</v>
      </c>
      <c r="I1423">
        <v>1.059999942779541</v>
      </c>
      <c r="J1423" t="s">
        <v>5722</v>
      </c>
      <c r="K1423">
        <v>3155</v>
      </c>
      <c r="L1423">
        <v>2835</v>
      </c>
      <c r="M1423">
        <v>-10.14</v>
      </c>
      <c r="N1423">
        <v>-1.39</v>
      </c>
      <c r="O1423">
        <v>2.68</v>
      </c>
      <c r="P1423">
        <v>-0.35</v>
      </c>
      <c r="Q1423">
        <v>-8.0299999999999994</v>
      </c>
      <c r="R1423">
        <v>-9.01</v>
      </c>
      <c r="S1423">
        <v>2.73</v>
      </c>
      <c r="T1423">
        <v>1.04</v>
      </c>
      <c r="U1423">
        <v>0.6</v>
      </c>
      <c r="V1423">
        <v>0.87</v>
      </c>
      <c r="W1423">
        <v>1.89</v>
      </c>
      <c r="X1423">
        <v>1.38</v>
      </c>
      <c r="Y1423">
        <v>1.81</v>
      </c>
      <c r="Z1423">
        <v>1.34</v>
      </c>
      <c r="AA1423">
        <v>4.47</v>
      </c>
      <c r="AB1423">
        <v>0.4</v>
      </c>
      <c r="AC1423">
        <v>4.25</v>
      </c>
      <c r="AD1423">
        <v>6.53</v>
      </c>
      <c r="AE1423">
        <v>1.51</v>
      </c>
      <c r="AF1423">
        <v>3.0833333333333339</v>
      </c>
      <c r="AG1423" t="str">
        <f>HYPERLINK("https://finance.naver.com/item/fchart.naver?code=136480", "하림 차트보기")</f>
        <v>하림 차트보기</v>
      </c>
    </row>
    <row r="1424" spans="1:33" x14ac:dyDescent="0.3">
      <c r="A1424" t="s">
        <v>5723</v>
      </c>
      <c r="B1424" t="s">
        <v>34</v>
      </c>
      <c r="C1424" t="s">
        <v>5724</v>
      </c>
      <c r="D1424">
        <v>605343.71</v>
      </c>
      <c r="E1424" t="s">
        <v>5725</v>
      </c>
      <c r="F1424">
        <v>0</v>
      </c>
      <c r="G1424">
        <v>1.4600000381469731</v>
      </c>
      <c r="H1424">
        <v>0</v>
      </c>
      <c r="I1424">
        <v>0</v>
      </c>
      <c r="J1424" t="s">
        <v>5726</v>
      </c>
      <c r="K1424">
        <v>1691</v>
      </c>
      <c r="L1424">
        <v>1529</v>
      </c>
      <c r="M1424">
        <v>-9.58</v>
      </c>
      <c r="N1424">
        <v>-2.4300000000000002</v>
      </c>
      <c r="O1424">
        <v>-14.14</v>
      </c>
      <c r="P1424">
        <v>13.43</v>
      </c>
      <c r="Q1424">
        <v>-4.18</v>
      </c>
      <c r="R1424">
        <v>5.35</v>
      </c>
      <c r="S1424">
        <v>-6.43</v>
      </c>
      <c r="T1424">
        <v>1.22</v>
      </c>
      <c r="U1424">
        <v>3</v>
      </c>
      <c r="V1424">
        <v>4.97</v>
      </c>
      <c r="W1424">
        <v>3.13</v>
      </c>
      <c r="X1424">
        <v>1.72</v>
      </c>
      <c r="Y1424">
        <v>1.38</v>
      </c>
      <c r="Z1424">
        <v>1.99</v>
      </c>
      <c r="AA1424">
        <v>4.71</v>
      </c>
      <c r="AB1424">
        <v>2.7</v>
      </c>
      <c r="AC1424">
        <v>1.34</v>
      </c>
      <c r="AD1424">
        <v>3.11</v>
      </c>
      <c r="AE1424">
        <v>4.66</v>
      </c>
      <c r="AF1424">
        <v>3.085</v>
      </c>
      <c r="AG1424" t="str">
        <f>HYPERLINK("https://finance.naver.com/item/fchart.naver?code=001360", "삼성제약 차트보기")</f>
        <v>삼성제약 차트보기</v>
      </c>
    </row>
    <row r="1425" spans="1:33" x14ac:dyDescent="0.3">
      <c r="A1425" t="s">
        <v>5727</v>
      </c>
      <c r="B1425" t="s">
        <v>55</v>
      </c>
      <c r="C1425" t="s">
        <v>5728</v>
      </c>
      <c r="D1425">
        <v>180170</v>
      </c>
      <c r="E1425" t="s">
        <v>5729</v>
      </c>
      <c r="F1425">
        <v>8.17</v>
      </c>
      <c r="G1425">
        <v>0.49000000953674322</v>
      </c>
      <c r="H1425">
        <v>249</v>
      </c>
      <c r="I1425">
        <v>0</v>
      </c>
      <c r="J1425" t="s">
        <v>5730</v>
      </c>
      <c r="K1425">
        <v>2655</v>
      </c>
      <c r="L1425">
        <v>2035</v>
      </c>
      <c r="M1425">
        <v>-23.35</v>
      </c>
      <c r="N1425">
        <v>-3.33</v>
      </c>
      <c r="O1425">
        <v>-5.73</v>
      </c>
      <c r="P1425">
        <v>1.56</v>
      </c>
      <c r="Q1425">
        <v>-7.86</v>
      </c>
      <c r="R1425">
        <v>1.47</v>
      </c>
      <c r="S1425">
        <v>-6.35</v>
      </c>
      <c r="T1425">
        <v>3.13</v>
      </c>
      <c r="U1425">
        <v>1.44</v>
      </c>
      <c r="V1425">
        <v>2.82</v>
      </c>
      <c r="W1425">
        <v>3.48</v>
      </c>
      <c r="X1425">
        <v>1.42</v>
      </c>
      <c r="Y1425">
        <v>0.66</v>
      </c>
      <c r="Z1425">
        <v>1.06</v>
      </c>
      <c r="AA1425">
        <v>3.98</v>
      </c>
      <c r="AB1425">
        <v>0.55000000000000004</v>
      </c>
      <c r="AC1425">
        <v>2.2599999999999998</v>
      </c>
      <c r="AD1425">
        <v>1.04</v>
      </c>
      <c r="AE1425">
        <v>9.6199999999999992</v>
      </c>
      <c r="AF1425">
        <v>3.085</v>
      </c>
      <c r="AG1425" t="str">
        <f>HYPERLINK("https://finance.naver.com/item/fchart.naver?code=201490", "미투온 차트보기")</f>
        <v>미투온 차트보기</v>
      </c>
    </row>
    <row r="1426" spans="1:33" x14ac:dyDescent="0.3">
      <c r="A1426" t="s">
        <v>5731</v>
      </c>
      <c r="B1426" t="s">
        <v>55</v>
      </c>
      <c r="C1426" t="s">
        <v>5732</v>
      </c>
      <c r="D1426">
        <v>63750.62</v>
      </c>
      <c r="E1426" t="s">
        <v>5733</v>
      </c>
      <c r="F1426">
        <v>9.32</v>
      </c>
      <c r="G1426">
        <v>1.2699999809265139</v>
      </c>
      <c r="H1426">
        <v>2853</v>
      </c>
      <c r="I1426">
        <v>0.60000002384185791</v>
      </c>
      <c r="J1426" t="s">
        <v>5734</v>
      </c>
      <c r="K1426">
        <v>46700</v>
      </c>
      <c r="L1426">
        <v>26600</v>
      </c>
      <c r="M1426">
        <v>-43.04</v>
      </c>
      <c r="N1426">
        <v>-9.2200000000000006</v>
      </c>
      <c r="O1426">
        <v>-0.33</v>
      </c>
      <c r="P1426">
        <v>-2.35</v>
      </c>
      <c r="Q1426">
        <v>-16.690000000000001</v>
      </c>
      <c r="R1426">
        <v>5.56</v>
      </c>
      <c r="S1426">
        <v>-13.51</v>
      </c>
      <c r="T1426">
        <v>2.62</v>
      </c>
      <c r="U1426">
        <v>2.84</v>
      </c>
      <c r="V1426">
        <v>2.41</v>
      </c>
      <c r="W1426">
        <v>5.09</v>
      </c>
      <c r="X1426">
        <v>3.13</v>
      </c>
      <c r="Y1426">
        <v>1.53</v>
      </c>
      <c r="Z1426">
        <v>3.52</v>
      </c>
      <c r="AA1426">
        <v>0.12</v>
      </c>
      <c r="AB1426">
        <v>0.98</v>
      </c>
      <c r="AC1426">
        <v>3.28</v>
      </c>
      <c r="AD1426">
        <v>1.78</v>
      </c>
      <c r="AE1426">
        <v>8.83</v>
      </c>
      <c r="AF1426">
        <v>3.085</v>
      </c>
      <c r="AG1426" t="str">
        <f>HYPERLINK("https://finance.naver.com/item/fchart.naver?code=131970", "두산테스나 차트보기")</f>
        <v>두산테스나 차트보기</v>
      </c>
    </row>
    <row r="1427" spans="1:33" x14ac:dyDescent="0.3">
      <c r="A1427" t="s">
        <v>5735</v>
      </c>
      <c r="B1427" t="s">
        <v>34</v>
      </c>
      <c r="C1427" t="s">
        <v>5736</v>
      </c>
      <c r="D1427">
        <v>10260.049999999999</v>
      </c>
      <c r="E1427" t="s">
        <v>5737</v>
      </c>
      <c r="F1427">
        <v>5.24</v>
      </c>
      <c r="G1427">
        <v>0.4699999988079071</v>
      </c>
      <c r="H1427">
        <v>10275</v>
      </c>
      <c r="I1427">
        <v>1.860000014305115</v>
      </c>
      <c r="J1427" t="s">
        <v>5738</v>
      </c>
      <c r="K1427">
        <v>66700</v>
      </c>
      <c r="L1427">
        <v>53800</v>
      </c>
      <c r="M1427">
        <v>-19.34</v>
      </c>
      <c r="N1427">
        <v>-2.54</v>
      </c>
      <c r="O1427">
        <v>10.74</v>
      </c>
      <c r="P1427">
        <v>4.12</v>
      </c>
      <c r="Q1427">
        <v>-32.64</v>
      </c>
      <c r="R1427">
        <v>-0.13</v>
      </c>
      <c r="S1427">
        <v>6.09</v>
      </c>
      <c r="T1427">
        <v>2.1800000000000002</v>
      </c>
      <c r="U1427">
        <v>2.46</v>
      </c>
      <c r="V1427">
        <v>1.94</v>
      </c>
      <c r="W1427">
        <v>4.07</v>
      </c>
      <c r="X1427">
        <v>2.73</v>
      </c>
      <c r="Y1427">
        <v>2.19</v>
      </c>
      <c r="Z1427">
        <v>1.17</v>
      </c>
      <c r="AA1427">
        <v>4.37</v>
      </c>
      <c r="AB1427">
        <v>2.12</v>
      </c>
      <c r="AC1427">
        <v>8.02</v>
      </c>
      <c r="AD1427">
        <v>0.05</v>
      </c>
      <c r="AE1427">
        <v>2.78</v>
      </c>
      <c r="AF1427">
        <v>3.085</v>
      </c>
      <c r="AG1427" t="str">
        <f>HYPERLINK("https://finance.naver.com/item/fchart.naver?code=005430", "한국공항 차트보기")</f>
        <v>한국공항 차트보기</v>
      </c>
    </row>
    <row r="1428" spans="1:33" x14ac:dyDescent="0.3">
      <c r="A1428" t="s">
        <v>5739</v>
      </c>
      <c r="B1428" t="s">
        <v>34</v>
      </c>
      <c r="C1428" t="s">
        <v>5740</v>
      </c>
      <c r="D1428">
        <v>9761.76</v>
      </c>
      <c r="E1428" t="s">
        <v>5741</v>
      </c>
      <c r="F1428">
        <v>8.57</v>
      </c>
      <c r="G1428">
        <v>0.25999999046325678</v>
      </c>
      <c r="H1428">
        <v>1087</v>
      </c>
      <c r="I1428">
        <v>5.3600001335144043</v>
      </c>
      <c r="J1428" t="s">
        <v>5742</v>
      </c>
      <c r="K1428">
        <v>9300</v>
      </c>
      <c r="L1428">
        <v>9320</v>
      </c>
      <c r="M1428">
        <v>0.22</v>
      </c>
      <c r="N1428">
        <v>-2.2000000000000002</v>
      </c>
      <c r="O1428">
        <v>0.53</v>
      </c>
      <c r="P1428">
        <v>-0.85</v>
      </c>
      <c r="Q1428">
        <v>-13.11</v>
      </c>
      <c r="R1428">
        <v>-8.7200000000000006</v>
      </c>
      <c r="S1428">
        <v>14.78</v>
      </c>
      <c r="T1428">
        <v>0.72</v>
      </c>
      <c r="U1428">
        <v>0.48</v>
      </c>
      <c r="V1428">
        <v>1.05</v>
      </c>
      <c r="W1428">
        <v>2.95</v>
      </c>
      <c r="X1428">
        <v>2.42</v>
      </c>
      <c r="Y1428">
        <v>2.68</v>
      </c>
      <c r="Z1428">
        <v>3.06</v>
      </c>
      <c r="AA1428">
        <v>1.1000000000000001</v>
      </c>
      <c r="AB1428">
        <v>0.81</v>
      </c>
      <c r="AC1428">
        <v>4.4400000000000004</v>
      </c>
      <c r="AD1428">
        <v>3.6</v>
      </c>
      <c r="AE1428">
        <v>5.51</v>
      </c>
      <c r="AF1428">
        <v>3.086666666666666</v>
      </c>
      <c r="AG1428" t="str">
        <f>HYPERLINK("https://finance.naver.com/item/fchart.naver?code=004970", "신라교역 차트보기")</f>
        <v>신라교역 차트보기</v>
      </c>
    </row>
    <row r="1429" spans="1:33" x14ac:dyDescent="0.3">
      <c r="A1429" t="s">
        <v>5743</v>
      </c>
      <c r="B1429" t="s">
        <v>34</v>
      </c>
      <c r="C1429" t="s">
        <v>5744</v>
      </c>
      <c r="D1429">
        <v>50387.48</v>
      </c>
      <c r="E1429" t="s">
        <v>5745</v>
      </c>
      <c r="F1429">
        <v>6.55</v>
      </c>
      <c r="G1429">
        <v>0.43000000715255737</v>
      </c>
      <c r="H1429">
        <v>922</v>
      </c>
      <c r="I1429">
        <v>3.309999942779541</v>
      </c>
      <c r="J1429" t="s">
        <v>5746</v>
      </c>
      <c r="K1429">
        <v>7560</v>
      </c>
      <c r="L1429">
        <v>6040</v>
      </c>
      <c r="M1429">
        <v>-20.11</v>
      </c>
      <c r="N1429">
        <v>-5.33</v>
      </c>
      <c r="O1429">
        <v>6.11</v>
      </c>
      <c r="P1429">
        <v>-6.11</v>
      </c>
      <c r="Q1429">
        <v>-7.59</v>
      </c>
      <c r="R1429">
        <v>-0.57999999999999996</v>
      </c>
      <c r="S1429">
        <v>-4.8</v>
      </c>
      <c r="T1429">
        <v>1.46</v>
      </c>
      <c r="U1429">
        <v>2.37</v>
      </c>
      <c r="V1429">
        <v>1.7</v>
      </c>
      <c r="W1429">
        <v>3.88</v>
      </c>
      <c r="X1429">
        <v>1.1399999999999999</v>
      </c>
      <c r="Y1429">
        <v>0.77</v>
      </c>
      <c r="Z1429">
        <v>3.65</v>
      </c>
      <c r="AA1429">
        <v>2.58</v>
      </c>
      <c r="AB1429">
        <v>3.59</v>
      </c>
      <c r="AC1429">
        <v>1.96</v>
      </c>
      <c r="AD1429">
        <v>0.51</v>
      </c>
      <c r="AE1429">
        <v>6.23</v>
      </c>
      <c r="AF1429">
        <v>3.0866666666666669</v>
      </c>
      <c r="AG1429" t="str">
        <f>HYPERLINK("https://finance.naver.com/item/fchart.naver?code=023800", "인지컨트롤스 차트보기")</f>
        <v>인지컨트롤스 차트보기</v>
      </c>
    </row>
    <row r="1430" spans="1:33" x14ac:dyDescent="0.3">
      <c r="A1430" t="s">
        <v>5747</v>
      </c>
      <c r="B1430" t="s">
        <v>55</v>
      </c>
      <c r="C1430" t="s">
        <v>5748</v>
      </c>
      <c r="D1430">
        <v>4418.5200000000004</v>
      </c>
      <c r="E1430" t="s">
        <v>5749</v>
      </c>
      <c r="F1430">
        <v>0</v>
      </c>
      <c r="G1430">
        <v>0</v>
      </c>
      <c r="H1430">
        <v>0</v>
      </c>
      <c r="I1430">
        <v>0</v>
      </c>
      <c r="J1430" t="s">
        <v>5750</v>
      </c>
      <c r="K1430">
        <v>2120</v>
      </c>
      <c r="L1430">
        <v>2070</v>
      </c>
      <c r="M1430">
        <v>-2.36</v>
      </c>
      <c r="N1430">
        <v>-0.96</v>
      </c>
      <c r="O1430">
        <v>0.24</v>
      </c>
      <c r="P1430">
        <v>0</v>
      </c>
      <c r="Q1430">
        <v>-1.41</v>
      </c>
      <c r="R1430">
        <v>2.16</v>
      </c>
      <c r="S1430">
        <v>-0.24</v>
      </c>
      <c r="T1430">
        <v>0.19</v>
      </c>
      <c r="U1430">
        <v>0.32</v>
      </c>
      <c r="V1430">
        <v>0.34</v>
      </c>
      <c r="W1430">
        <v>0.71</v>
      </c>
      <c r="X1430">
        <v>0.22</v>
      </c>
      <c r="Y1430">
        <v>0.26</v>
      </c>
      <c r="Z1430">
        <v>5.05</v>
      </c>
      <c r="AA1430">
        <v>0.75</v>
      </c>
      <c r="AB1430">
        <v>0</v>
      </c>
      <c r="AC1430">
        <v>1.99</v>
      </c>
      <c r="AD1430">
        <v>9.82</v>
      </c>
      <c r="AE1430">
        <v>0.92</v>
      </c>
      <c r="AF1430">
        <v>3.0883333333333329</v>
      </c>
      <c r="AG1430" t="str">
        <f>HYPERLINK("https://finance.naver.com/item/fchart.naver?code=472230", "에스케이증권제11호스팩 차트보기")</f>
        <v>에스케이증권제11호스팩 차트보기</v>
      </c>
    </row>
    <row r="1431" spans="1:33" x14ac:dyDescent="0.3">
      <c r="A1431" t="s">
        <v>5751</v>
      </c>
      <c r="B1431" t="s">
        <v>34</v>
      </c>
      <c r="C1431" t="s">
        <v>5752</v>
      </c>
      <c r="D1431">
        <v>29404.05</v>
      </c>
      <c r="E1431" t="s">
        <v>5753</v>
      </c>
      <c r="F1431">
        <v>0</v>
      </c>
      <c r="G1431">
        <v>0.31000000238418579</v>
      </c>
      <c r="H1431">
        <v>0</v>
      </c>
      <c r="I1431">
        <v>0.68999999761581421</v>
      </c>
      <c r="J1431" t="s">
        <v>5754</v>
      </c>
      <c r="K1431">
        <v>7230</v>
      </c>
      <c r="L1431">
        <v>7270</v>
      </c>
      <c r="M1431">
        <v>0.55000000000000004</v>
      </c>
      <c r="N1431">
        <v>6.13</v>
      </c>
      <c r="O1431">
        <v>-12.02</v>
      </c>
      <c r="P1431">
        <v>24.47</v>
      </c>
      <c r="Q1431">
        <v>-0.88</v>
      </c>
      <c r="R1431">
        <v>-9.92</v>
      </c>
      <c r="S1431">
        <v>-3.67</v>
      </c>
      <c r="T1431">
        <v>2.96</v>
      </c>
      <c r="U1431">
        <v>2.21</v>
      </c>
      <c r="V1431">
        <v>6.46</v>
      </c>
      <c r="W1431">
        <v>4.97</v>
      </c>
      <c r="X1431">
        <v>1.76</v>
      </c>
      <c r="Y1431">
        <v>2.58</v>
      </c>
      <c r="Z1431">
        <v>2.0699999999999998</v>
      </c>
      <c r="AA1431">
        <v>5.44</v>
      </c>
      <c r="AB1431">
        <v>3.79</v>
      </c>
      <c r="AC1431">
        <v>0.18</v>
      </c>
      <c r="AD1431">
        <v>5.64</v>
      </c>
      <c r="AE1431">
        <v>1.42</v>
      </c>
      <c r="AF1431">
        <v>3.09</v>
      </c>
      <c r="AG1431" t="str">
        <f>HYPERLINK("https://finance.naver.com/item/fchart.naver?code=006370", "대구백화점 차트보기")</f>
        <v>대구백화점 차트보기</v>
      </c>
    </row>
    <row r="1432" spans="1:33" x14ac:dyDescent="0.3">
      <c r="A1432" t="s">
        <v>5755</v>
      </c>
      <c r="B1432" t="s">
        <v>55</v>
      </c>
      <c r="C1432" t="s">
        <v>5756</v>
      </c>
      <c r="D1432">
        <v>1765367.71</v>
      </c>
      <c r="E1432" t="s">
        <v>5757</v>
      </c>
      <c r="F1432">
        <v>0</v>
      </c>
      <c r="G1432">
        <v>6.070000171661377</v>
      </c>
      <c r="H1432">
        <v>0</v>
      </c>
      <c r="I1432">
        <v>0</v>
      </c>
      <c r="J1432" t="s">
        <v>5758</v>
      </c>
      <c r="K1432">
        <v>1586</v>
      </c>
      <c r="L1432">
        <v>3225</v>
      </c>
      <c r="M1432">
        <v>103.34</v>
      </c>
      <c r="N1432">
        <v>-21.63</v>
      </c>
      <c r="O1432">
        <v>7.78</v>
      </c>
      <c r="P1432">
        <v>4.99</v>
      </c>
      <c r="Q1432">
        <v>33.090000000000003</v>
      </c>
      <c r="R1432">
        <v>52.81</v>
      </c>
      <c r="S1432">
        <v>-7.76</v>
      </c>
      <c r="T1432">
        <v>6.64</v>
      </c>
      <c r="U1432">
        <v>5.97</v>
      </c>
      <c r="V1432">
        <v>6.19</v>
      </c>
      <c r="W1432">
        <v>7.64</v>
      </c>
      <c r="X1432">
        <v>7.25</v>
      </c>
      <c r="Y1432">
        <v>4.9800000000000004</v>
      </c>
      <c r="Z1432">
        <v>3.26</v>
      </c>
      <c r="AA1432">
        <v>1.3</v>
      </c>
      <c r="AB1432">
        <v>0.81</v>
      </c>
      <c r="AC1432">
        <v>4.33</v>
      </c>
      <c r="AD1432">
        <v>7.28</v>
      </c>
      <c r="AE1432">
        <v>1.56</v>
      </c>
      <c r="AF1432">
        <v>3.09</v>
      </c>
      <c r="AG1432" t="str">
        <f>HYPERLINK("https://finance.naver.com/item/fchart.naver?code=288330", "브릿지바이오테라퓨틱스 차트보기")</f>
        <v>브릿지바이오테라퓨틱스 차트보기</v>
      </c>
    </row>
    <row r="1433" spans="1:33" x14ac:dyDescent="0.3">
      <c r="A1433" t="s">
        <v>5759</v>
      </c>
      <c r="B1433" t="s">
        <v>34</v>
      </c>
      <c r="C1433" t="s">
        <v>5760</v>
      </c>
      <c r="D1433">
        <v>3407112.1</v>
      </c>
      <c r="E1433" t="s">
        <v>5761</v>
      </c>
      <c r="F1433">
        <v>32.520000000000003</v>
      </c>
      <c r="G1433">
        <v>5.820000171661377</v>
      </c>
      <c r="H1433">
        <v>755</v>
      </c>
      <c r="I1433">
        <v>0.40999999642372131</v>
      </c>
      <c r="J1433" t="s">
        <v>5762</v>
      </c>
      <c r="K1433">
        <v>50800</v>
      </c>
      <c r="L1433">
        <v>24550</v>
      </c>
      <c r="M1433">
        <v>-51.67</v>
      </c>
      <c r="N1433">
        <v>-29.86</v>
      </c>
      <c r="O1433">
        <v>2.25</v>
      </c>
      <c r="P1433">
        <v>-9.08</v>
      </c>
      <c r="Q1433">
        <v>-6.12</v>
      </c>
      <c r="R1433">
        <v>-20.37</v>
      </c>
      <c r="S1433">
        <v>21.91</v>
      </c>
      <c r="T1433">
        <v>9.42</v>
      </c>
      <c r="U1433">
        <v>4.59</v>
      </c>
      <c r="V1433">
        <v>4.33</v>
      </c>
      <c r="W1433">
        <v>6.48</v>
      </c>
      <c r="X1433">
        <v>3.15</v>
      </c>
      <c r="Y1433">
        <v>4.07</v>
      </c>
      <c r="Z1433">
        <v>3.17</v>
      </c>
      <c r="AA1433">
        <v>0.49</v>
      </c>
      <c r="AB1433">
        <v>2.1</v>
      </c>
      <c r="AC1433">
        <v>0.94</v>
      </c>
      <c r="AD1433">
        <v>6.47</v>
      </c>
      <c r="AE1433">
        <v>5.38</v>
      </c>
      <c r="AF1433">
        <v>3.0916666666666659</v>
      </c>
      <c r="AG1433" t="str">
        <f>HYPERLINK("https://finance.naver.com/item/fchart.naver?code=007660", "이수페타시스 차트보기")</f>
        <v>이수페타시스 차트보기</v>
      </c>
    </row>
    <row r="1434" spans="1:33" x14ac:dyDescent="0.3">
      <c r="A1434" t="s">
        <v>5763</v>
      </c>
      <c r="B1434" t="s">
        <v>34</v>
      </c>
      <c r="C1434" t="s">
        <v>5764</v>
      </c>
      <c r="D1434">
        <v>232453.05</v>
      </c>
      <c r="E1434" t="s">
        <v>5765</v>
      </c>
      <c r="F1434">
        <v>0</v>
      </c>
      <c r="G1434">
        <v>0.41999998688697809</v>
      </c>
      <c r="H1434">
        <v>0</v>
      </c>
      <c r="I1434">
        <v>2.3499999046325679</v>
      </c>
      <c r="J1434" t="s">
        <v>5766</v>
      </c>
      <c r="K1434">
        <v>2910</v>
      </c>
      <c r="L1434">
        <v>2130</v>
      </c>
      <c r="M1434">
        <v>-26.8</v>
      </c>
      <c r="N1434">
        <v>-2.96</v>
      </c>
      <c r="O1434">
        <v>-6.32</v>
      </c>
      <c r="P1434">
        <v>-7.17</v>
      </c>
      <c r="Q1434">
        <v>-4.58</v>
      </c>
      <c r="R1434">
        <v>-2.7</v>
      </c>
      <c r="S1434">
        <v>-0.18</v>
      </c>
      <c r="T1434">
        <v>1.03</v>
      </c>
      <c r="U1434">
        <v>1.75</v>
      </c>
      <c r="V1434">
        <v>0.94</v>
      </c>
      <c r="W1434">
        <v>3.45</v>
      </c>
      <c r="X1434">
        <v>0.92</v>
      </c>
      <c r="Y1434">
        <v>1</v>
      </c>
      <c r="Z1434">
        <v>2.87</v>
      </c>
      <c r="AA1434">
        <v>3.61</v>
      </c>
      <c r="AB1434">
        <v>7.63</v>
      </c>
      <c r="AC1434">
        <v>1.33</v>
      </c>
      <c r="AD1434">
        <v>2.93</v>
      </c>
      <c r="AE1434">
        <v>0.18</v>
      </c>
      <c r="AF1434">
        <v>3.0916666666666668</v>
      </c>
      <c r="AG1434" t="str">
        <f>HYPERLINK("https://finance.naver.com/item/fchart.naver?code=005360", "모나미 차트보기")</f>
        <v>모나미 차트보기</v>
      </c>
    </row>
    <row r="1435" spans="1:33" x14ac:dyDescent="0.3">
      <c r="A1435" t="s">
        <v>5767</v>
      </c>
      <c r="B1435" t="s">
        <v>55</v>
      </c>
      <c r="C1435" t="s">
        <v>5768</v>
      </c>
      <c r="D1435">
        <v>48033.05</v>
      </c>
      <c r="E1435" t="s">
        <v>5769</v>
      </c>
      <c r="F1435">
        <v>48.68</v>
      </c>
      <c r="G1435">
        <v>1.470000028610229</v>
      </c>
      <c r="H1435">
        <v>53</v>
      </c>
      <c r="I1435">
        <v>2.3299999237060551</v>
      </c>
      <c r="J1435" t="s">
        <v>5770</v>
      </c>
      <c r="K1435">
        <v>3230</v>
      </c>
      <c r="L1435">
        <v>2580</v>
      </c>
      <c r="M1435">
        <v>-20.12</v>
      </c>
      <c r="N1435">
        <v>-6.52</v>
      </c>
      <c r="O1435">
        <v>2.5</v>
      </c>
      <c r="P1435">
        <v>-1.1299999999999999</v>
      </c>
      <c r="Q1435">
        <v>-2.75</v>
      </c>
      <c r="R1435">
        <v>-8.86</v>
      </c>
      <c r="S1435">
        <v>-9.42</v>
      </c>
      <c r="T1435">
        <v>3.22</v>
      </c>
      <c r="U1435">
        <v>1.78</v>
      </c>
      <c r="V1435">
        <v>4.16</v>
      </c>
      <c r="W1435">
        <v>3.24</v>
      </c>
      <c r="X1435">
        <v>1.33</v>
      </c>
      <c r="Y1435">
        <v>1.28</v>
      </c>
      <c r="Z1435">
        <v>2.02</v>
      </c>
      <c r="AA1435">
        <v>1.4</v>
      </c>
      <c r="AB1435">
        <v>0.27</v>
      </c>
      <c r="AC1435">
        <v>0.85</v>
      </c>
      <c r="AD1435">
        <v>6.66</v>
      </c>
      <c r="AE1435">
        <v>7.36</v>
      </c>
      <c r="AF1435">
        <v>3.0933333333333328</v>
      </c>
      <c r="AG1435" t="str">
        <f>HYPERLINK("https://finance.naver.com/item/fchart.naver?code=067730", "로지시스 차트보기")</f>
        <v>로지시스 차트보기</v>
      </c>
    </row>
    <row r="1436" spans="1:33" x14ac:dyDescent="0.3">
      <c r="A1436" t="s">
        <v>5771</v>
      </c>
      <c r="B1436" t="s">
        <v>55</v>
      </c>
      <c r="C1436" t="s">
        <v>5772</v>
      </c>
      <c r="D1436">
        <v>35812.29</v>
      </c>
      <c r="E1436" t="s">
        <v>5773</v>
      </c>
      <c r="F1436">
        <v>6.39</v>
      </c>
      <c r="G1436">
        <v>0.34000000357627869</v>
      </c>
      <c r="H1436">
        <v>1660</v>
      </c>
      <c r="I1436">
        <v>2.3599998950958252</v>
      </c>
      <c r="J1436" t="s">
        <v>5774</v>
      </c>
      <c r="K1436">
        <v>12130</v>
      </c>
      <c r="L1436">
        <v>10610</v>
      </c>
      <c r="M1436">
        <v>-12.53</v>
      </c>
      <c r="N1436">
        <v>-3.11</v>
      </c>
      <c r="O1436">
        <v>-5.68</v>
      </c>
      <c r="P1436">
        <v>9.23</v>
      </c>
      <c r="Q1436">
        <v>-8.4</v>
      </c>
      <c r="R1436">
        <v>2.4500000000000002</v>
      </c>
      <c r="S1436">
        <v>-3.06</v>
      </c>
      <c r="T1436">
        <v>1.22</v>
      </c>
      <c r="U1436">
        <v>1.28</v>
      </c>
      <c r="V1436">
        <v>2.27</v>
      </c>
      <c r="W1436">
        <v>2.97</v>
      </c>
      <c r="X1436">
        <v>1.28</v>
      </c>
      <c r="Y1436">
        <v>1.1100000000000001</v>
      </c>
      <c r="Z1436">
        <v>2.5499999999999998</v>
      </c>
      <c r="AA1436">
        <v>4.4400000000000004</v>
      </c>
      <c r="AB1436">
        <v>4.07</v>
      </c>
      <c r="AC1436">
        <v>2.83</v>
      </c>
      <c r="AD1436">
        <v>1.91</v>
      </c>
      <c r="AE1436">
        <v>2.76</v>
      </c>
      <c r="AF1436">
        <v>3.0933333333333342</v>
      </c>
      <c r="AG1436" t="str">
        <f>HYPERLINK("https://finance.naver.com/item/fchart.naver?code=032190", "다우데이타 차트보기")</f>
        <v>다우데이타 차트보기</v>
      </c>
    </row>
    <row r="1437" spans="1:33" x14ac:dyDescent="0.3">
      <c r="A1437" t="s">
        <v>5775</v>
      </c>
      <c r="B1437" t="s">
        <v>55</v>
      </c>
      <c r="C1437" t="s">
        <v>5776</v>
      </c>
      <c r="D1437">
        <v>2296435.48</v>
      </c>
      <c r="E1437" t="s">
        <v>5777</v>
      </c>
      <c r="F1437">
        <v>45.94</v>
      </c>
      <c r="G1437">
        <v>4.7899999618530273</v>
      </c>
      <c r="H1437">
        <v>219</v>
      </c>
      <c r="I1437">
        <v>0.30000001192092901</v>
      </c>
      <c r="J1437" t="s">
        <v>5778</v>
      </c>
      <c r="K1437">
        <v>10770</v>
      </c>
      <c r="L1437">
        <v>10060</v>
      </c>
      <c r="M1437">
        <v>-6.59</v>
      </c>
      <c r="N1437">
        <v>-9.61</v>
      </c>
      <c r="O1437">
        <v>1.69</v>
      </c>
      <c r="P1437">
        <v>28.33</v>
      </c>
      <c r="Q1437">
        <v>-28.26</v>
      </c>
      <c r="R1437">
        <v>-5.57</v>
      </c>
      <c r="S1437">
        <v>36.72</v>
      </c>
      <c r="T1437">
        <v>3.51</v>
      </c>
      <c r="U1437">
        <v>4.05</v>
      </c>
      <c r="V1437">
        <v>8.4</v>
      </c>
      <c r="W1437">
        <v>5.14</v>
      </c>
      <c r="X1437">
        <v>4.63</v>
      </c>
      <c r="Y1437">
        <v>6.88</v>
      </c>
      <c r="Z1437">
        <v>2.74</v>
      </c>
      <c r="AA1437">
        <v>0.42</v>
      </c>
      <c r="AB1437">
        <v>3.37</v>
      </c>
      <c r="AC1437">
        <v>5.5</v>
      </c>
      <c r="AD1437">
        <v>1.2</v>
      </c>
      <c r="AE1437">
        <v>5.34</v>
      </c>
      <c r="AF1437">
        <v>3.0950000000000002</v>
      </c>
      <c r="AG1437" t="str">
        <f>HYPERLINK("https://finance.naver.com/item/fchart.naver?code=253590", "네오셈 차트보기")</f>
        <v>네오셈 차트보기</v>
      </c>
    </row>
    <row r="1438" spans="1:33" x14ac:dyDescent="0.3">
      <c r="A1438" t="s">
        <v>5779</v>
      </c>
      <c r="B1438" t="s">
        <v>34</v>
      </c>
      <c r="C1438" t="s">
        <v>5780</v>
      </c>
      <c r="D1438">
        <v>54164.05</v>
      </c>
      <c r="E1438" t="s">
        <v>5781</v>
      </c>
      <c r="F1438">
        <v>5.21</v>
      </c>
      <c r="G1438">
        <v>0.82999998331069946</v>
      </c>
      <c r="H1438">
        <v>3512</v>
      </c>
      <c r="I1438">
        <v>5.4699997901916504</v>
      </c>
      <c r="J1438" t="s">
        <v>5782</v>
      </c>
      <c r="K1438">
        <v>19730</v>
      </c>
      <c r="L1438">
        <v>18280</v>
      </c>
      <c r="M1438">
        <v>-7.35</v>
      </c>
      <c r="N1438">
        <v>-6.88</v>
      </c>
      <c r="O1438">
        <v>3.71</v>
      </c>
      <c r="P1438">
        <v>3.55</v>
      </c>
      <c r="Q1438">
        <v>-1.26</v>
      </c>
      <c r="R1438">
        <v>-3.3</v>
      </c>
      <c r="S1438">
        <v>1.94</v>
      </c>
      <c r="T1438">
        <v>1.3</v>
      </c>
      <c r="U1438">
        <v>1.58</v>
      </c>
      <c r="V1438">
        <v>0.89</v>
      </c>
      <c r="W1438">
        <v>1.83</v>
      </c>
      <c r="X1438">
        <v>0.67</v>
      </c>
      <c r="Y1438">
        <v>1.44</v>
      </c>
      <c r="Z1438">
        <v>5.29</v>
      </c>
      <c r="AA1438">
        <v>2.35</v>
      </c>
      <c r="AB1438">
        <v>3.99</v>
      </c>
      <c r="AC1438">
        <v>0.69</v>
      </c>
      <c r="AD1438">
        <v>4.93</v>
      </c>
      <c r="AE1438">
        <v>1.35</v>
      </c>
      <c r="AF1438">
        <v>3.1</v>
      </c>
      <c r="AG1438" t="str">
        <f>HYPERLINK("https://finance.naver.com/item/fchart.naver?code=069260", "TKG휴켐스 차트보기")</f>
        <v>TKG휴켐스 차트보기</v>
      </c>
    </row>
    <row r="1439" spans="1:33" x14ac:dyDescent="0.3">
      <c r="A1439" t="s">
        <v>5783</v>
      </c>
      <c r="B1439" t="s">
        <v>34</v>
      </c>
      <c r="C1439" t="s">
        <v>5784</v>
      </c>
      <c r="D1439">
        <v>8001.71</v>
      </c>
      <c r="E1439" t="s">
        <v>5785</v>
      </c>
      <c r="F1439">
        <v>0</v>
      </c>
      <c r="G1439">
        <v>0</v>
      </c>
      <c r="H1439">
        <v>0</v>
      </c>
      <c r="I1439">
        <v>3.9800000190734859</v>
      </c>
      <c r="J1439" t="s">
        <v>5786</v>
      </c>
      <c r="K1439">
        <v>104200</v>
      </c>
      <c r="L1439">
        <v>76600</v>
      </c>
      <c r="M1439">
        <v>-26.49</v>
      </c>
      <c r="N1439">
        <v>-4.6100000000000003</v>
      </c>
      <c r="O1439">
        <v>-9.43</v>
      </c>
      <c r="P1439">
        <v>4.08</v>
      </c>
      <c r="Q1439">
        <v>-13.29</v>
      </c>
      <c r="R1439">
        <v>13.75</v>
      </c>
      <c r="S1439">
        <v>-7.42</v>
      </c>
      <c r="T1439">
        <v>3.18</v>
      </c>
      <c r="U1439">
        <v>1.96</v>
      </c>
      <c r="V1439">
        <v>1.83</v>
      </c>
      <c r="W1439">
        <v>4.18</v>
      </c>
      <c r="X1439">
        <v>3.11</v>
      </c>
      <c r="Y1439">
        <v>2.94</v>
      </c>
      <c r="Z1439">
        <v>1.45</v>
      </c>
      <c r="AA1439">
        <v>4.8099999999999996</v>
      </c>
      <c r="AB1439">
        <v>2.23</v>
      </c>
      <c r="AC1439">
        <v>3.18</v>
      </c>
      <c r="AD1439">
        <v>4.42</v>
      </c>
      <c r="AE1439">
        <v>2.52</v>
      </c>
      <c r="AF1439">
        <v>3.101666666666667</v>
      </c>
      <c r="AG1439" t="str">
        <f>HYPERLINK("https://finance.naver.com/item/fchart.naver?code=00104K", "CJ4우(전환) 차트보기")</f>
        <v>CJ4우(전환) 차트보기</v>
      </c>
    </row>
    <row r="1440" spans="1:33" x14ac:dyDescent="0.3">
      <c r="A1440" t="s">
        <v>5787</v>
      </c>
      <c r="B1440" t="s">
        <v>34</v>
      </c>
      <c r="C1440" t="s">
        <v>5788</v>
      </c>
      <c r="D1440">
        <v>6485.48</v>
      </c>
      <c r="E1440" t="s">
        <v>5789</v>
      </c>
      <c r="F1440">
        <v>0</v>
      </c>
      <c r="G1440">
        <v>0</v>
      </c>
      <c r="H1440">
        <v>0</v>
      </c>
      <c r="I1440">
        <v>2.160000085830688</v>
      </c>
      <c r="J1440" t="s">
        <v>5790</v>
      </c>
      <c r="K1440">
        <v>73600</v>
      </c>
      <c r="L1440">
        <v>55600</v>
      </c>
      <c r="M1440">
        <v>-24.46</v>
      </c>
      <c r="N1440">
        <v>-3.47</v>
      </c>
      <c r="O1440">
        <v>-7.83</v>
      </c>
      <c r="P1440">
        <v>-7.2</v>
      </c>
      <c r="Q1440">
        <v>-7.82</v>
      </c>
      <c r="R1440">
        <v>0.69</v>
      </c>
      <c r="S1440">
        <v>-4.0999999999999996</v>
      </c>
      <c r="T1440">
        <v>0.99</v>
      </c>
      <c r="U1440">
        <v>1.52</v>
      </c>
      <c r="V1440">
        <v>1.98</v>
      </c>
      <c r="W1440">
        <v>3.4</v>
      </c>
      <c r="X1440">
        <v>1.42</v>
      </c>
      <c r="Y1440">
        <v>1.1599999999999999</v>
      </c>
      <c r="Z1440">
        <v>3.51</v>
      </c>
      <c r="AA1440">
        <v>5.15</v>
      </c>
      <c r="AB1440">
        <v>3.64</v>
      </c>
      <c r="AC1440">
        <v>2.2999999999999998</v>
      </c>
      <c r="AD1440">
        <v>0.49</v>
      </c>
      <c r="AE1440">
        <v>3.53</v>
      </c>
      <c r="AF1440">
        <v>3.1033333333333331</v>
      </c>
      <c r="AG1440" t="str">
        <f>HYPERLINK("https://finance.naver.com/item/fchart.naver?code=009155", "삼성전기우 차트보기")</f>
        <v>삼성전기우 차트보기</v>
      </c>
    </row>
    <row r="1441" spans="1:33" x14ac:dyDescent="0.3">
      <c r="A1441" t="s">
        <v>5791</v>
      </c>
      <c r="B1441" t="s">
        <v>55</v>
      </c>
      <c r="C1441" t="s">
        <v>5792</v>
      </c>
      <c r="D1441">
        <v>51529.9</v>
      </c>
      <c r="E1441" t="s">
        <v>5793</v>
      </c>
      <c r="F1441">
        <v>102.81</v>
      </c>
      <c r="G1441">
        <v>0.68000000715255737</v>
      </c>
      <c r="H1441">
        <v>89</v>
      </c>
      <c r="I1441">
        <v>0.55000001192092896</v>
      </c>
      <c r="J1441" t="s">
        <v>5794</v>
      </c>
      <c r="K1441">
        <v>10230</v>
      </c>
      <c r="L1441">
        <v>9150</v>
      </c>
      <c r="M1441">
        <v>-10.56</v>
      </c>
      <c r="N1441">
        <v>-2.76</v>
      </c>
      <c r="O1441">
        <v>-2.29</v>
      </c>
      <c r="P1441">
        <v>10.53</v>
      </c>
      <c r="Q1441">
        <v>-11.46</v>
      </c>
      <c r="R1441">
        <v>17.22</v>
      </c>
      <c r="S1441">
        <v>-7.03</v>
      </c>
      <c r="T1441">
        <v>1.1599999999999999</v>
      </c>
      <c r="U1441">
        <v>1.46</v>
      </c>
      <c r="V1441">
        <v>3.5</v>
      </c>
      <c r="W1441">
        <v>2.79</v>
      </c>
      <c r="X1441">
        <v>4.9800000000000004</v>
      </c>
      <c r="Y1441">
        <v>1.72</v>
      </c>
      <c r="Z1441">
        <v>2.38</v>
      </c>
      <c r="AA1441">
        <v>1.57</v>
      </c>
      <c r="AB1441">
        <v>3.01</v>
      </c>
      <c r="AC1441">
        <v>4.1100000000000003</v>
      </c>
      <c r="AD1441">
        <v>3.46</v>
      </c>
      <c r="AE1441">
        <v>4.09</v>
      </c>
      <c r="AF1441">
        <v>3.1033333333333331</v>
      </c>
      <c r="AG1441" t="str">
        <f>HYPERLINK("https://finance.naver.com/item/fchart.naver?code=030960", "양지사 차트보기")</f>
        <v>양지사 차트보기</v>
      </c>
    </row>
    <row r="1442" spans="1:33" x14ac:dyDescent="0.3">
      <c r="A1442" t="s">
        <v>5795</v>
      </c>
      <c r="B1442" t="s">
        <v>34</v>
      </c>
      <c r="C1442" t="s">
        <v>5796</v>
      </c>
      <c r="D1442">
        <v>156672.24</v>
      </c>
      <c r="E1442" t="s">
        <v>5797</v>
      </c>
      <c r="F1442">
        <v>0</v>
      </c>
      <c r="G1442">
        <v>0.46000000834465032</v>
      </c>
      <c r="H1442">
        <v>0</v>
      </c>
      <c r="I1442">
        <v>0</v>
      </c>
      <c r="J1442" t="s">
        <v>5798</v>
      </c>
      <c r="K1442">
        <v>1633</v>
      </c>
      <c r="L1442">
        <v>1207</v>
      </c>
      <c r="M1442">
        <v>-26.09</v>
      </c>
      <c r="N1442">
        <v>-3.05</v>
      </c>
      <c r="O1442">
        <v>-5.28</v>
      </c>
      <c r="P1442">
        <v>1.1599999999999999</v>
      </c>
      <c r="Q1442">
        <v>1.74</v>
      </c>
      <c r="R1442">
        <v>-6.38</v>
      </c>
      <c r="S1442">
        <v>-7.2</v>
      </c>
      <c r="T1442">
        <v>1.73</v>
      </c>
      <c r="U1442">
        <v>0.89</v>
      </c>
      <c r="V1442">
        <v>1.38</v>
      </c>
      <c r="W1442">
        <v>3.4</v>
      </c>
      <c r="X1442">
        <v>1.41</v>
      </c>
      <c r="Y1442">
        <v>1.42</v>
      </c>
      <c r="Z1442">
        <v>1.76</v>
      </c>
      <c r="AA1442">
        <v>5.93</v>
      </c>
      <c r="AB1442">
        <v>0.84</v>
      </c>
      <c r="AC1442">
        <v>0.51</v>
      </c>
      <c r="AD1442">
        <v>4.5199999999999996</v>
      </c>
      <c r="AE1442">
        <v>5.07</v>
      </c>
      <c r="AF1442">
        <v>3.105</v>
      </c>
      <c r="AG1442" t="str">
        <f>HYPERLINK("https://finance.naver.com/item/fchart.naver?code=021050", "서원 차트보기")</f>
        <v>서원 차트보기</v>
      </c>
    </row>
    <row r="1443" spans="1:33" x14ac:dyDescent="0.3">
      <c r="A1443" t="s">
        <v>5799</v>
      </c>
      <c r="B1443" t="s">
        <v>34</v>
      </c>
      <c r="C1443" t="s">
        <v>5800</v>
      </c>
      <c r="D1443">
        <v>369298.57</v>
      </c>
      <c r="E1443" t="s">
        <v>5801</v>
      </c>
      <c r="F1443">
        <v>25.83</v>
      </c>
      <c r="G1443">
        <v>5.9600000381469727</v>
      </c>
      <c r="H1443">
        <v>16103</v>
      </c>
      <c r="I1443">
        <v>0.43000000715255737</v>
      </c>
      <c r="J1443" t="s">
        <v>5802</v>
      </c>
      <c r="K1443">
        <v>222413</v>
      </c>
      <c r="L1443">
        <v>416000</v>
      </c>
      <c r="M1443">
        <v>87.04</v>
      </c>
      <c r="N1443">
        <v>9.91</v>
      </c>
      <c r="O1443">
        <v>18.899999999999999</v>
      </c>
      <c r="P1443">
        <v>-1</v>
      </c>
      <c r="Q1443">
        <v>-4.45</v>
      </c>
      <c r="R1443">
        <v>18.28</v>
      </c>
      <c r="S1443">
        <v>11.88</v>
      </c>
      <c r="T1443">
        <v>3.55</v>
      </c>
      <c r="U1443">
        <v>3.11</v>
      </c>
      <c r="V1443">
        <v>2.06</v>
      </c>
      <c r="W1443">
        <v>3.33</v>
      </c>
      <c r="X1443">
        <v>3.64</v>
      </c>
      <c r="Y1443">
        <v>4.08</v>
      </c>
      <c r="Z1443">
        <v>2.79</v>
      </c>
      <c r="AA1443">
        <v>6.08</v>
      </c>
      <c r="AB1443">
        <v>0.49</v>
      </c>
      <c r="AC1443">
        <v>1.34</v>
      </c>
      <c r="AD1443">
        <v>5.0199999999999996</v>
      </c>
      <c r="AE1443">
        <v>2.91</v>
      </c>
      <c r="AF1443">
        <v>3.105</v>
      </c>
      <c r="AG1443" t="str">
        <f>HYPERLINK("https://finance.naver.com/item/fchart.naver?code=012450", "한화에어로스페이스 차트보기")</f>
        <v>한화에어로스페이스 차트보기</v>
      </c>
    </row>
    <row r="1444" spans="1:33" x14ac:dyDescent="0.3">
      <c r="A1444" t="s">
        <v>5803</v>
      </c>
      <c r="B1444" t="s">
        <v>55</v>
      </c>
      <c r="C1444" t="s">
        <v>5804</v>
      </c>
      <c r="D1444">
        <v>18339.62</v>
      </c>
      <c r="E1444" t="s">
        <v>5805</v>
      </c>
      <c r="F1444">
        <v>101.04</v>
      </c>
      <c r="G1444">
        <v>3.119999885559082</v>
      </c>
      <c r="H1444">
        <v>336</v>
      </c>
      <c r="I1444">
        <v>0</v>
      </c>
      <c r="J1444" t="s">
        <v>5806</v>
      </c>
      <c r="K1444">
        <v>55200</v>
      </c>
      <c r="L1444">
        <v>33950</v>
      </c>
      <c r="M1444">
        <v>-38.5</v>
      </c>
      <c r="N1444">
        <v>-3.55</v>
      </c>
      <c r="O1444">
        <v>-6.14</v>
      </c>
      <c r="P1444">
        <v>-0.77</v>
      </c>
      <c r="Q1444">
        <v>-6.8</v>
      </c>
      <c r="R1444">
        <v>-16.170000000000002</v>
      </c>
      <c r="S1444">
        <v>-5.8</v>
      </c>
      <c r="T1444">
        <v>5.05</v>
      </c>
      <c r="U1444">
        <v>1.1000000000000001</v>
      </c>
      <c r="V1444">
        <v>2.21</v>
      </c>
      <c r="W1444">
        <v>3.73</v>
      </c>
      <c r="X1444">
        <v>2.0099999999999998</v>
      </c>
      <c r="Y1444">
        <v>2.7</v>
      </c>
      <c r="Z1444">
        <v>0.7</v>
      </c>
      <c r="AA1444">
        <v>5.58</v>
      </c>
      <c r="AB1444">
        <v>0.35</v>
      </c>
      <c r="AC1444">
        <v>1.82</v>
      </c>
      <c r="AD1444">
        <v>8.0399999999999991</v>
      </c>
      <c r="AE1444">
        <v>2.15</v>
      </c>
      <c r="AF1444">
        <v>3.106666666666666</v>
      </c>
      <c r="AG1444" t="str">
        <f>HYPERLINK("https://finance.naver.com/item/fchart.naver?code=126340", "비나텍 차트보기")</f>
        <v>비나텍 차트보기</v>
      </c>
    </row>
    <row r="1445" spans="1:33" x14ac:dyDescent="0.3">
      <c r="A1445" t="s">
        <v>5807</v>
      </c>
      <c r="B1445" t="s">
        <v>55</v>
      </c>
      <c r="C1445" t="s">
        <v>5808</v>
      </c>
      <c r="D1445">
        <v>139717.76000000001</v>
      </c>
      <c r="E1445" t="s">
        <v>5809</v>
      </c>
      <c r="F1445">
        <v>0</v>
      </c>
      <c r="G1445">
        <v>1.4099999666213989</v>
      </c>
      <c r="H1445">
        <v>0</v>
      </c>
      <c r="I1445">
        <v>1.120000004768372</v>
      </c>
      <c r="J1445" t="s">
        <v>5810</v>
      </c>
      <c r="K1445">
        <v>14370</v>
      </c>
      <c r="L1445">
        <v>8960</v>
      </c>
      <c r="M1445">
        <v>-37.65</v>
      </c>
      <c r="N1445">
        <v>-4.38</v>
      </c>
      <c r="O1445">
        <v>-9.75</v>
      </c>
      <c r="P1445">
        <v>-10.75</v>
      </c>
      <c r="Q1445">
        <v>-12.68</v>
      </c>
      <c r="R1445">
        <v>-14.08</v>
      </c>
      <c r="S1445">
        <v>21.18</v>
      </c>
      <c r="T1445">
        <v>3.61</v>
      </c>
      <c r="U1445">
        <v>2.5</v>
      </c>
      <c r="V1445">
        <v>3.15</v>
      </c>
      <c r="W1445">
        <v>6.62</v>
      </c>
      <c r="X1445">
        <v>4.4000000000000004</v>
      </c>
      <c r="Y1445">
        <v>4.24</v>
      </c>
      <c r="Z1445">
        <v>1.21</v>
      </c>
      <c r="AA1445">
        <v>3.9</v>
      </c>
      <c r="AB1445">
        <v>3.41</v>
      </c>
      <c r="AC1445">
        <v>1.92</v>
      </c>
      <c r="AD1445">
        <v>3.2</v>
      </c>
      <c r="AE1445">
        <v>5</v>
      </c>
      <c r="AF1445">
        <v>3.1066666666666669</v>
      </c>
      <c r="AG1445" t="str">
        <f>HYPERLINK("https://finance.naver.com/item/fchart.naver?code=102120", "어보브반도체 차트보기")</f>
        <v>어보브반도체 차트보기</v>
      </c>
    </row>
    <row r="1446" spans="1:33" x14ac:dyDescent="0.3">
      <c r="A1446" t="s">
        <v>5811</v>
      </c>
      <c r="B1446" t="s">
        <v>55</v>
      </c>
      <c r="C1446" t="s">
        <v>5812</v>
      </c>
      <c r="D1446">
        <v>19825.759999999998</v>
      </c>
      <c r="E1446" t="s">
        <v>5813</v>
      </c>
      <c r="F1446">
        <v>0</v>
      </c>
      <c r="G1446">
        <v>1.870000004768372</v>
      </c>
      <c r="H1446">
        <v>0</v>
      </c>
      <c r="I1446">
        <v>0</v>
      </c>
      <c r="J1446" t="s">
        <v>5814</v>
      </c>
      <c r="K1446">
        <v>24150</v>
      </c>
      <c r="L1446">
        <v>16760</v>
      </c>
      <c r="M1446">
        <v>-30.6</v>
      </c>
      <c r="N1446">
        <v>-9.41</v>
      </c>
      <c r="O1446">
        <v>-6.72</v>
      </c>
      <c r="P1446">
        <v>2.25</v>
      </c>
      <c r="Q1446">
        <v>3.8</v>
      </c>
      <c r="R1446">
        <v>-15.68</v>
      </c>
      <c r="S1446">
        <v>6.14</v>
      </c>
      <c r="T1446">
        <v>1.89</v>
      </c>
      <c r="U1446">
        <v>1.86</v>
      </c>
      <c r="V1446">
        <v>3.87</v>
      </c>
      <c r="W1446">
        <v>4.1399999999999997</v>
      </c>
      <c r="X1446">
        <v>2.1800000000000002</v>
      </c>
      <c r="Y1446">
        <v>4.5199999999999996</v>
      </c>
      <c r="Z1446">
        <v>4.9800000000000004</v>
      </c>
      <c r="AA1446">
        <v>3.61</v>
      </c>
      <c r="AB1446">
        <v>0.57999999999999996</v>
      </c>
      <c r="AC1446">
        <v>0.92</v>
      </c>
      <c r="AD1446">
        <v>7.19</v>
      </c>
      <c r="AE1446">
        <v>1.36</v>
      </c>
      <c r="AF1446">
        <v>3.1066666666666669</v>
      </c>
      <c r="AG1446" t="str">
        <f>HYPERLINK("https://finance.naver.com/item/fchart.naver?code=084850", "아이티엠반도체 차트보기")</f>
        <v>아이티엠반도체 차트보기</v>
      </c>
    </row>
    <row r="1447" spans="1:33" x14ac:dyDescent="0.3">
      <c r="A1447" t="s">
        <v>5815</v>
      </c>
      <c r="B1447" t="s">
        <v>55</v>
      </c>
      <c r="C1447" t="s">
        <v>5816</v>
      </c>
      <c r="D1447">
        <v>588558.76</v>
      </c>
      <c r="E1447" t="s">
        <v>5817</v>
      </c>
      <c r="F1447">
        <v>11.77</v>
      </c>
      <c r="G1447">
        <v>3.6700000762939449</v>
      </c>
      <c r="H1447">
        <v>268</v>
      </c>
      <c r="I1447">
        <v>0</v>
      </c>
      <c r="J1447" t="s">
        <v>5818</v>
      </c>
      <c r="K1447">
        <v>3810</v>
      </c>
      <c r="L1447">
        <v>3155</v>
      </c>
      <c r="M1447">
        <v>-17.190000000000001</v>
      </c>
      <c r="N1447">
        <v>-10.37</v>
      </c>
      <c r="O1447">
        <v>2.54</v>
      </c>
      <c r="P1447">
        <v>10.58</v>
      </c>
      <c r="Q1447">
        <v>-6.1</v>
      </c>
      <c r="R1447">
        <v>-15.78</v>
      </c>
      <c r="S1447">
        <v>1.35</v>
      </c>
      <c r="T1447">
        <v>1.62</v>
      </c>
      <c r="U1447">
        <v>1.98</v>
      </c>
      <c r="V1447">
        <v>2.94</v>
      </c>
      <c r="W1447">
        <v>3.28</v>
      </c>
      <c r="X1447">
        <v>3.19</v>
      </c>
      <c r="Y1447">
        <v>2.44</v>
      </c>
      <c r="Z1447">
        <v>6.4</v>
      </c>
      <c r="AA1447">
        <v>1.28</v>
      </c>
      <c r="AB1447">
        <v>3.6</v>
      </c>
      <c r="AC1447">
        <v>1.86</v>
      </c>
      <c r="AD1447">
        <v>4.95</v>
      </c>
      <c r="AE1447">
        <v>0.55000000000000004</v>
      </c>
      <c r="AF1447">
        <v>3.1066666666666669</v>
      </c>
      <c r="AG1447" t="str">
        <f>HYPERLINK("https://finance.naver.com/item/fchart.naver?code=036620", "감성코퍼레이션 차트보기")</f>
        <v>감성코퍼레이션 차트보기</v>
      </c>
    </row>
    <row r="1448" spans="1:33" x14ac:dyDescent="0.3">
      <c r="A1448" t="s">
        <v>5819</v>
      </c>
      <c r="B1448" t="s">
        <v>55</v>
      </c>
      <c r="C1448" t="s">
        <v>5820</v>
      </c>
      <c r="D1448">
        <v>13779.24</v>
      </c>
      <c r="E1448" t="s">
        <v>5821</v>
      </c>
      <c r="F1448">
        <v>3.3</v>
      </c>
      <c r="G1448">
        <v>0.81999999284744263</v>
      </c>
      <c r="H1448">
        <v>757</v>
      </c>
      <c r="I1448">
        <v>0</v>
      </c>
      <c r="J1448" t="s">
        <v>5822</v>
      </c>
      <c r="K1448">
        <v>3605</v>
      </c>
      <c r="L1448">
        <v>2500</v>
      </c>
      <c r="M1448">
        <v>-30.65</v>
      </c>
      <c r="N1448">
        <v>-3.1</v>
      </c>
      <c r="O1448">
        <v>-7.39</v>
      </c>
      <c r="P1448">
        <v>-1.89</v>
      </c>
      <c r="Q1448">
        <v>-8.1199999999999992</v>
      </c>
      <c r="R1448">
        <v>-0.32</v>
      </c>
      <c r="S1448">
        <v>-7.1</v>
      </c>
      <c r="T1448">
        <v>1.41</v>
      </c>
      <c r="U1448">
        <v>1.84</v>
      </c>
      <c r="V1448">
        <v>1.59</v>
      </c>
      <c r="W1448">
        <v>2.66</v>
      </c>
      <c r="X1448">
        <v>2.56</v>
      </c>
      <c r="Y1448">
        <v>0.88</v>
      </c>
      <c r="Z1448">
        <v>2.2000000000000002</v>
      </c>
      <c r="AA1448">
        <v>4.0199999999999996</v>
      </c>
      <c r="AB1448">
        <v>1.19</v>
      </c>
      <c r="AC1448">
        <v>3.05</v>
      </c>
      <c r="AD1448">
        <v>0.12</v>
      </c>
      <c r="AE1448">
        <v>8.07</v>
      </c>
      <c r="AF1448">
        <v>3.1083333333333329</v>
      </c>
      <c r="AG1448" t="str">
        <f>HYPERLINK("https://finance.naver.com/item/fchart.naver?code=006920", "모헨즈 차트보기")</f>
        <v>모헨즈 차트보기</v>
      </c>
    </row>
    <row r="1449" spans="1:33" x14ac:dyDescent="0.3">
      <c r="A1449" t="s">
        <v>5823</v>
      </c>
      <c r="B1449" t="s">
        <v>55</v>
      </c>
      <c r="C1449" t="s">
        <v>5824</v>
      </c>
      <c r="D1449">
        <v>4468221.71</v>
      </c>
      <c r="E1449" t="s">
        <v>5825</v>
      </c>
      <c r="J1449" t="s">
        <v>5826</v>
      </c>
      <c r="K1449">
        <v>109</v>
      </c>
      <c r="L1449">
        <v>78</v>
      </c>
      <c r="M1449">
        <v>-28.44</v>
      </c>
      <c r="N1449">
        <v>-2.5</v>
      </c>
      <c r="O1449">
        <v>-13.04</v>
      </c>
      <c r="P1449">
        <v>7.95</v>
      </c>
      <c r="Q1449">
        <v>-3.16</v>
      </c>
      <c r="R1449">
        <v>-4.04</v>
      </c>
      <c r="S1449">
        <v>-9.91</v>
      </c>
      <c r="T1449">
        <v>2.42</v>
      </c>
      <c r="U1449">
        <v>4.0199999999999996</v>
      </c>
      <c r="V1449">
        <v>3.34</v>
      </c>
      <c r="W1449">
        <v>3.62</v>
      </c>
      <c r="X1449">
        <v>1.98</v>
      </c>
      <c r="Y1449">
        <v>1.0900000000000001</v>
      </c>
      <c r="Z1449">
        <v>1.03</v>
      </c>
      <c r="AA1449">
        <v>3.24</v>
      </c>
      <c r="AB1449">
        <v>2.38</v>
      </c>
      <c r="AC1449">
        <v>0.87</v>
      </c>
      <c r="AD1449">
        <v>2.04</v>
      </c>
      <c r="AE1449">
        <v>9.09</v>
      </c>
      <c r="AF1449">
        <v>3.1083333333333329</v>
      </c>
      <c r="AG1449" t="str">
        <f>HYPERLINK("https://finance.naver.com/item/fchart.naver?code=900120", "씨엑스아이 차트보기")</f>
        <v>씨엑스아이 차트보기</v>
      </c>
    </row>
    <row r="1450" spans="1:33" x14ac:dyDescent="0.3">
      <c r="A1450" t="s">
        <v>5827</v>
      </c>
      <c r="B1450" t="s">
        <v>55</v>
      </c>
      <c r="C1450" t="s">
        <v>5828</v>
      </c>
      <c r="D1450">
        <v>5091530.76</v>
      </c>
      <c r="E1450" t="s">
        <v>5829</v>
      </c>
      <c r="F1450">
        <v>0</v>
      </c>
      <c r="G1450">
        <v>2.25</v>
      </c>
      <c r="H1450">
        <v>0</v>
      </c>
      <c r="I1450">
        <v>0</v>
      </c>
      <c r="J1450" t="s">
        <v>5830</v>
      </c>
      <c r="K1450">
        <v>2655</v>
      </c>
      <c r="L1450">
        <v>2615</v>
      </c>
      <c r="M1450">
        <v>-1.51</v>
      </c>
      <c r="N1450">
        <v>-10.45</v>
      </c>
      <c r="O1450">
        <v>61.22</v>
      </c>
      <c r="P1450">
        <v>-3.6</v>
      </c>
      <c r="Q1450">
        <v>-9.2100000000000009</v>
      </c>
      <c r="R1450">
        <v>-15.18</v>
      </c>
      <c r="S1450">
        <v>-7.91</v>
      </c>
      <c r="T1450">
        <v>3.01</v>
      </c>
      <c r="U1450">
        <v>11.09</v>
      </c>
      <c r="V1450">
        <v>2.4900000000000002</v>
      </c>
      <c r="W1450">
        <v>5.14</v>
      </c>
      <c r="X1450">
        <v>4.04</v>
      </c>
      <c r="Y1450">
        <v>2.97</v>
      </c>
      <c r="Z1450">
        <v>3.47</v>
      </c>
      <c r="AA1450">
        <v>5.52</v>
      </c>
      <c r="AB1450">
        <v>1.45</v>
      </c>
      <c r="AC1450">
        <v>1.79</v>
      </c>
      <c r="AD1450">
        <v>3.76</v>
      </c>
      <c r="AE1450">
        <v>2.66</v>
      </c>
      <c r="AF1450">
        <v>3.1083333333333329</v>
      </c>
      <c r="AG1450" t="str">
        <f>HYPERLINK("https://finance.naver.com/item/fchart.naver?code=376930", "노을 차트보기")</f>
        <v>노을 차트보기</v>
      </c>
    </row>
    <row r="1451" spans="1:33" x14ac:dyDescent="0.3">
      <c r="A1451" t="s">
        <v>5831</v>
      </c>
      <c r="B1451" t="s">
        <v>34</v>
      </c>
      <c r="C1451" t="s">
        <v>5832</v>
      </c>
      <c r="D1451">
        <v>13826</v>
      </c>
      <c r="E1451" t="s">
        <v>5833</v>
      </c>
      <c r="F1451">
        <v>6.82</v>
      </c>
      <c r="G1451">
        <v>0.76999998092651367</v>
      </c>
      <c r="H1451">
        <v>16499</v>
      </c>
      <c r="I1451">
        <v>3.0199999809265141</v>
      </c>
      <c r="J1451" t="s">
        <v>5834</v>
      </c>
      <c r="K1451">
        <v>129100</v>
      </c>
      <c r="L1451">
        <v>112600</v>
      </c>
      <c r="M1451">
        <v>-12.78</v>
      </c>
      <c r="N1451">
        <v>-6.48</v>
      </c>
      <c r="O1451">
        <v>-4.9800000000000004</v>
      </c>
      <c r="P1451">
        <v>0.23</v>
      </c>
      <c r="Q1451">
        <v>-7.45</v>
      </c>
      <c r="R1451">
        <v>7.64</v>
      </c>
      <c r="S1451">
        <v>2.71</v>
      </c>
      <c r="T1451">
        <v>1.17</v>
      </c>
      <c r="U1451">
        <v>1.33</v>
      </c>
      <c r="V1451">
        <v>1.36</v>
      </c>
      <c r="W1451">
        <v>1.97</v>
      </c>
      <c r="X1451">
        <v>1.85</v>
      </c>
      <c r="Y1451">
        <v>2.09</v>
      </c>
      <c r="Z1451">
        <v>5.54</v>
      </c>
      <c r="AA1451">
        <v>3.74</v>
      </c>
      <c r="AB1451">
        <v>0.17</v>
      </c>
      <c r="AC1451">
        <v>3.78</v>
      </c>
      <c r="AD1451">
        <v>4.13</v>
      </c>
      <c r="AE1451">
        <v>1.3</v>
      </c>
      <c r="AF1451">
        <v>3.11</v>
      </c>
      <c r="AG1451" t="str">
        <f>HYPERLINK("https://finance.naver.com/item/fchart.naver?code=005300", "롯데칠성 차트보기")</f>
        <v>롯데칠성 차트보기</v>
      </c>
    </row>
    <row r="1452" spans="1:33" x14ac:dyDescent="0.3">
      <c r="A1452" t="s">
        <v>5835</v>
      </c>
      <c r="B1452" t="s">
        <v>55</v>
      </c>
      <c r="C1452" t="s">
        <v>5836</v>
      </c>
      <c r="D1452">
        <v>83238.33</v>
      </c>
      <c r="E1452" t="s">
        <v>5837</v>
      </c>
      <c r="F1452">
        <v>113.62</v>
      </c>
      <c r="G1452">
        <v>6.4099998474121094</v>
      </c>
      <c r="H1452">
        <v>514</v>
      </c>
      <c r="I1452">
        <v>0</v>
      </c>
      <c r="J1452" t="s">
        <v>5838</v>
      </c>
      <c r="K1452">
        <v>98700</v>
      </c>
      <c r="L1452">
        <v>58400</v>
      </c>
      <c r="M1452">
        <v>-40.83</v>
      </c>
      <c r="N1452">
        <v>-4.26</v>
      </c>
      <c r="O1452">
        <v>-9.18</v>
      </c>
      <c r="P1452">
        <v>-0.57999999999999996</v>
      </c>
      <c r="Q1452">
        <v>-25</v>
      </c>
      <c r="R1452">
        <v>7.73</v>
      </c>
      <c r="S1452">
        <v>-1.55</v>
      </c>
      <c r="T1452">
        <v>2.82</v>
      </c>
      <c r="U1452">
        <v>1.46</v>
      </c>
      <c r="V1452">
        <v>1.66</v>
      </c>
      <c r="W1452">
        <v>4.66</v>
      </c>
      <c r="X1452">
        <v>1.86</v>
      </c>
      <c r="Y1452">
        <v>1.57</v>
      </c>
      <c r="Z1452">
        <v>1.51</v>
      </c>
      <c r="AA1452">
        <v>6.29</v>
      </c>
      <c r="AB1452">
        <v>0.35</v>
      </c>
      <c r="AC1452">
        <v>5.36</v>
      </c>
      <c r="AD1452">
        <v>4.16</v>
      </c>
      <c r="AE1452">
        <v>0.99</v>
      </c>
      <c r="AF1452">
        <v>3.11</v>
      </c>
      <c r="AG1452" t="str">
        <f>HYPERLINK("https://finance.naver.com/item/fchart.naver?code=068760", "셀트리온제약 차트보기")</f>
        <v>셀트리온제약 차트보기</v>
      </c>
    </row>
    <row r="1453" spans="1:33" x14ac:dyDescent="0.3">
      <c r="A1453" t="s">
        <v>5839</v>
      </c>
      <c r="B1453" t="s">
        <v>55</v>
      </c>
      <c r="C1453" t="s">
        <v>5840</v>
      </c>
      <c r="D1453">
        <v>557493.24</v>
      </c>
      <c r="E1453" t="s">
        <v>5841</v>
      </c>
      <c r="F1453">
        <v>35.049999999999997</v>
      </c>
      <c r="G1453">
        <v>5.4200000762939453</v>
      </c>
      <c r="H1453">
        <v>1104</v>
      </c>
      <c r="I1453">
        <v>0</v>
      </c>
      <c r="J1453" t="s">
        <v>5842</v>
      </c>
      <c r="K1453">
        <v>25600</v>
      </c>
      <c r="L1453">
        <v>38700</v>
      </c>
      <c r="M1453">
        <v>51.17</v>
      </c>
      <c r="N1453">
        <v>9.7899999999999991</v>
      </c>
      <c r="O1453">
        <v>62.16</v>
      </c>
      <c r="P1453">
        <v>-1.33</v>
      </c>
      <c r="Q1453">
        <v>-15.45</v>
      </c>
      <c r="R1453">
        <v>-7.55</v>
      </c>
      <c r="S1453">
        <v>-1.54</v>
      </c>
      <c r="T1453">
        <v>5.97</v>
      </c>
      <c r="U1453">
        <v>6.47</v>
      </c>
      <c r="V1453">
        <v>2.61</v>
      </c>
      <c r="W1453">
        <v>3.86</v>
      </c>
      <c r="X1453">
        <v>3.24</v>
      </c>
      <c r="Y1453">
        <v>2.72</v>
      </c>
      <c r="Z1453">
        <v>1.64</v>
      </c>
      <c r="AA1453">
        <v>9.61</v>
      </c>
      <c r="AB1453">
        <v>0.51</v>
      </c>
      <c r="AC1453">
        <v>4</v>
      </c>
      <c r="AD1453">
        <v>2.33</v>
      </c>
      <c r="AE1453">
        <v>0.56999999999999995</v>
      </c>
      <c r="AF1453">
        <v>3.11</v>
      </c>
      <c r="AG1453" t="str">
        <f>HYPERLINK("https://finance.naver.com/item/fchart.naver?code=376300", "디어유 차트보기")</f>
        <v>디어유 차트보기</v>
      </c>
    </row>
    <row r="1454" spans="1:33" x14ac:dyDescent="0.3">
      <c r="A1454" t="s">
        <v>5843</v>
      </c>
      <c r="B1454" t="s">
        <v>55</v>
      </c>
      <c r="C1454" t="s">
        <v>5844</v>
      </c>
      <c r="D1454">
        <v>23142</v>
      </c>
      <c r="E1454" t="s">
        <v>5845</v>
      </c>
      <c r="F1454">
        <v>216.92</v>
      </c>
      <c r="G1454">
        <v>1.169999957084656</v>
      </c>
      <c r="H1454">
        <v>13</v>
      </c>
      <c r="I1454">
        <v>0</v>
      </c>
      <c r="J1454" t="s">
        <v>5846</v>
      </c>
      <c r="K1454">
        <v>3815</v>
      </c>
      <c r="L1454">
        <v>2820</v>
      </c>
      <c r="M1454">
        <v>-26.08</v>
      </c>
      <c r="N1454">
        <v>9.09</v>
      </c>
      <c r="O1454">
        <v>-10.81</v>
      </c>
      <c r="P1454">
        <v>4.53</v>
      </c>
      <c r="Q1454">
        <v>-10.32</v>
      </c>
      <c r="R1454">
        <v>0</v>
      </c>
      <c r="S1454">
        <v>-7.23</v>
      </c>
      <c r="T1454">
        <v>1.78</v>
      </c>
      <c r="U1454">
        <v>1.93</v>
      </c>
      <c r="V1454">
        <v>2.34</v>
      </c>
      <c r="W1454">
        <v>2.72</v>
      </c>
      <c r="X1454">
        <v>7.01</v>
      </c>
      <c r="Y1454">
        <v>3.23</v>
      </c>
      <c r="Z1454">
        <v>5.1100000000000003</v>
      </c>
      <c r="AA1454">
        <v>5.6</v>
      </c>
      <c r="AB1454">
        <v>1.94</v>
      </c>
      <c r="AC1454">
        <v>3.79</v>
      </c>
      <c r="AD1454">
        <v>0</v>
      </c>
      <c r="AE1454">
        <v>2.2400000000000002</v>
      </c>
      <c r="AF1454">
        <v>3.1133333333333328</v>
      </c>
      <c r="AG1454" t="str">
        <f>HYPERLINK("https://finance.naver.com/item/fchart.naver?code=016100", "리더스코스메틱 차트보기")</f>
        <v>리더스코스메틱 차트보기</v>
      </c>
    </row>
    <row r="1455" spans="1:33" x14ac:dyDescent="0.3">
      <c r="A1455" t="s">
        <v>5847</v>
      </c>
      <c r="B1455" t="s">
        <v>55</v>
      </c>
      <c r="C1455" t="s">
        <v>5848</v>
      </c>
      <c r="D1455">
        <v>44364.33</v>
      </c>
      <c r="E1455" t="s">
        <v>5849</v>
      </c>
      <c r="F1455">
        <v>12.88</v>
      </c>
      <c r="G1455">
        <v>0.93000000715255737</v>
      </c>
      <c r="H1455">
        <v>2290</v>
      </c>
      <c r="I1455">
        <v>1.360000014305115</v>
      </c>
      <c r="J1455" t="s">
        <v>5850</v>
      </c>
      <c r="K1455">
        <v>36450</v>
      </c>
      <c r="L1455">
        <v>29500</v>
      </c>
      <c r="M1455">
        <v>-19.07</v>
      </c>
      <c r="N1455">
        <v>-10.06</v>
      </c>
      <c r="O1455">
        <v>9.7899999999999991</v>
      </c>
      <c r="P1455">
        <v>15.04</v>
      </c>
      <c r="Q1455">
        <v>-3.04</v>
      </c>
      <c r="R1455">
        <v>-5.16</v>
      </c>
      <c r="S1455">
        <v>-8.09</v>
      </c>
      <c r="T1455">
        <v>2.58</v>
      </c>
      <c r="U1455">
        <v>2.14</v>
      </c>
      <c r="V1455">
        <v>4.13</v>
      </c>
      <c r="W1455">
        <v>6.03</v>
      </c>
      <c r="X1455">
        <v>2.46</v>
      </c>
      <c r="Y1455">
        <v>2.04</v>
      </c>
      <c r="Z1455">
        <v>3.9</v>
      </c>
      <c r="AA1455">
        <v>4.57</v>
      </c>
      <c r="AB1455">
        <v>3.64</v>
      </c>
      <c r="AC1455">
        <v>0.5</v>
      </c>
      <c r="AD1455">
        <v>2.1</v>
      </c>
      <c r="AE1455">
        <v>3.97</v>
      </c>
      <c r="AF1455">
        <v>3.1133333333333328</v>
      </c>
      <c r="AG1455" t="str">
        <f>HYPERLINK("https://finance.naver.com/item/fchart.naver?code=053610", "프로텍 차트보기")</f>
        <v>프로텍 차트보기</v>
      </c>
    </row>
    <row r="1456" spans="1:33" x14ac:dyDescent="0.3">
      <c r="A1456" t="s">
        <v>5851</v>
      </c>
      <c r="B1456" t="s">
        <v>55</v>
      </c>
      <c r="C1456" t="s">
        <v>5852</v>
      </c>
      <c r="D1456">
        <v>8869.9500000000007</v>
      </c>
      <c r="E1456" t="s">
        <v>5853</v>
      </c>
      <c r="F1456">
        <v>5.9</v>
      </c>
      <c r="G1456">
        <v>0.37999999523162842</v>
      </c>
      <c r="H1456">
        <v>1137</v>
      </c>
      <c r="I1456">
        <v>4.4699997901916504</v>
      </c>
      <c r="J1456" t="s">
        <v>5854</v>
      </c>
      <c r="K1456">
        <v>8060</v>
      </c>
      <c r="L1456">
        <v>6710</v>
      </c>
      <c r="M1456">
        <v>-16.75</v>
      </c>
      <c r="N1456">
        <v>1.67</v>
      </c>
      <c r="O1456">
        <v>1.87</v>
      </c>
      <c r="P1456">
        <v>-9.76</v>
      </c>
      <c r="Q1456">
        <v>-7.14</v>
      </c>
      <c r="R1456">
        <v>-8.08</v>
      </c>
      <c r="S1456">
        <v>-2.59</v>
      </c>
      <c r="T1456">
        <v>2.11</v>
      </c>
      <c r="U1456">
        <v>1.08</v>
      </c>
      <c r="V1456">
        <v>1.29</v>
      </c>
      <c r="W1456">
        <v>2.77</v>
      </c>
      <c r="X1456">
        <v>1.81</v>
      </c>
      <c r="Y1456">
        <v>1.66</v>
      </c>
      <c r="Z1456">
        <v>0.79</v>
      </c>
      <c r="AA1456">
        <v>1.73</v>
      </c>
      <c r="AB1456">
        <v>7.57</v>
      </c>
      <c r="AC1456">
        <v>2.58</v>
      </c>
      <c r="AD1456">
        <v>4.46</v>
      </c>
      <c r="AE1456">
        <v>1.56</v>
      </c>
      <c r="AF1456">
        <v>3.1150000000000002</v>
      </c>
      <c r="AG1456" t="str">
        <f>HYPERLINK("https://finance.naver.com/item/fchart.naver?code=110790", "크리스에프앤씨 차트보기")</f>
        <v>크리스에프앤씨 차트보기</v>
      </c>
    </row>
    <row r="1457" spans="1:33" x14ac:dyDescent="0.3">
      <c r="A1457" t="s">
        <v>5855</v>
      </c>
      <c r="B1457" t="s">
        <v>55</v>
      </c>
      <c r="C1457" t="s">
        <v>5856</v>
      </c>
      <c r="D1457">
        <v>99752.33</v>
      </c>
      <c r="E1457" t="s">
        <v>5857</v>
      </c>
      <c r="F1457">
        <v>17.43</v>
      </c>
      <c r="G1457">
        <v>2</v>
      </c>
      <c r="H1457">
        <v>2206</v>
      </c>
      <c r="I1457">
        <v>0.99000000953674316</v>
      </c>
      <c r="J1457" t="s">
        <v>5858</v>
      </c>
      <c r="K1457">
        <v>29800</v>
      </c>
      <c r="L1457">
        <v>38450</v>
      </c>
      <c r="M1457">
        <v>29.03</v>
      </c>
      <c r="N1457">
        <v>8.16</v>
      </c>
      <c r="O1457">
        <v>10.27</v>
      </c>
      <c r="P1457">
        <v>1.1499999999999999</v>
      </c>
      <c r="Q1457">
        <v>-24.65</v>
      </c>
      <c r="R1457">
        <v>13.16</v>
      </c>
      <c r="S1457">
        <v>20.11</v>
      </c>
      <c r="T1457">
        <v>4.6500000000000004</v>
      </c>
      <c r="U1457">
        <v>3.11</v>
      </c>
      <c r="V1457">
        <v>2.14</v>
      </c>
      <c r="W1457">
        <v>4.58</v>
      </c>
      <c r="X1457">
        <v>3.64</v>
      </c>
      <c r="Y1457">
        <v>4.8899999999999997</v>
      </c>
      <c r="Z1457">
        <v>1.75</v>
      </c>
      <c r="AA1457">
        <v>3.3</v>
      </c>
      <c r="AB1457">
        <v>0.54</v>
      </c>
      <c r="AC1457">
        <v>5.38</v>
      </c>
      <c r="AD1457">
        <v>3.62</v>
      </c>
      <c r="AE1457">
        <v>4.1100000000000003</v>
      </c>
      <c r="AF1457">
        <v>3.1166666666666671</v>
      </c>
      <c r="AG1457" t="str">
        <f>HYPERLINK("https://finance.naver.com/item/fchart.naver?code=251970", "펌텍코리아 차트보기")</f>
        <v>펌텍코리아 차트보기</v>
      </c>
    </row>
    <row r="1458" spans="1:33" x14ac:dyDescent="0.3">
      <c r="A1458" t="s">
        <v>5859</v>
      </c>
      <c r="B1458" t="s">
        <v>55</v>
      </c>
      <c r="C1458" t="s">
        <v>5860</v>
      </c>
      <c r="D1458">
        <v>38870.519999999997</v>
      </c>
      <c r="E1458" t="s">
        <v>5861</v>
      </c>
      <c r="F1458">
        <v>5.33</v>
      </c>
      <c r="G1458">
        <v>0.2199999988079071</v>
      </c>
      <c r="H1458">
        <v>469</v>
      </c>
      <c r="I1458">
        <v>3.2000000476837158</v>
      </c>
      <c r="J1458" t="s">
        <v>5862</v>
      </c>
      <c r="K1458">
        <v>2740</v>
      </c>
      <c r="L1458">
        <v>2500</v>
      </c>
      <c r="M1458">
        <v>-8.76</v>
      </c>
      <c r="N1458">
        <v>-3.47</v>
      </c>
      <c r="O1458">
        <v>-2.87</v>
      </c>
      <c r="P1458">
        <v>-2.94</v>
      </c>
      <c r="Q1458">
        <v>0.55000000000000004</v>
      </c>
      <c r="R1458">
        <v>5.63</v>
      </c>
      <c r="S1458">
        <v>-6</v>
      </c>
      <c r="T1458">
        <v>1.3</v>
      </c>
      <c r="U1458">
        <v>0.56000000000000005</v>
      </c>
      <c r="V1458">
        <v>1.42</v>
      </c>
      <c r="W1458">
        <v>2.11</v>
      </c>
      <c r="X1458">
        <v>1.58</v>
      </c>
      <c r="Y1458">
        <v>1.19</v>
      </c>
      <c r="Z1458">
        <v>2.67</v>
      </c>
      <c r="AA1458">
        <v>5.12</v>
      </c>
      <c r="AB1458">
        <v>2.0699999999999998</v>
      </c>
      <c r="AC1458">
        <v>0.26</v>
      </c>
      <c r="AD1458">
        <v>3.56</v>
      </c>
      <c r="AE1458">
        <v>5.04</v>
      </c>
      <c r="AF1458">
        <v>3.12</v>
      </c>
      <c r="AG1458" t="str">
        <f>HYPERLINK("https://finance.naver.com/item/fchart.naver?code=013120", "동원개발 차트보기")</f>
        <v>동원개발 차트보기</v>
      </c>
    </row>
    <row r="1459" spans="1:33" x14ac:dyDescent="0.3">
      <c r="A1459" t="s">
        <v>5863</v>
      </c>
      <c r="B1459" t="s">
        <v>55</v>
      </c>
      <c r="C1459" t="s">
        <v>5864</v>
      </c>
      <c r="D1459">
        <v>37991.760000000002</v>
      </c>
      <c r="E1459" t="s">
        <v>5865</v>
      </c>
      <c r="F1459">
        <v>38.4</v>
      </c>
      <c r="G1459">
        <v>3.190000057220459</v>
      </c>
      <c r="H1459">
        <v>187</v>
      </c>
      <c r="I1459">
        <v>0.41999998688697809</v>
      </c>
      <c r="J1459" t="s">
        <v>5866</v>
      </c>
      <c r="K1459">
        <v>8470</v>
      </c>
      <c r="L1459">
        <v>7180</v>
      </c>
      <c r="M1459">
        <v>-15.23</v>
      </c>
      <c r="N1459">
        <v>-2.31</v>
      </c>
      <c r="O1459">
        <v>7.21</v>
      </c>
      <c r="P1459">
        <v>-9.3699999999999992</v>
      </c>
      <c r="Q1459">
        <v>-13.29</v>
      </c>
      <c r="R1459">
        <v>-0.71</v>
      </c>
      <c r="S1459">
        <v>8.83</v>
      </c>
      <c r="T1459">
        <v>2.66</v>
      </c>
      <c r="U1459">
        <v>2.44</v>
      </c>
      <c r="V1459">
        <v>2.56</v>
      </c>
      <c r="W1459">
        <v>3.2</v>
      </c>
      <c r="X1459">
        <v>1.7</v>
      </c>
      <c r="Y1459">
        <v>1.32</v>
      </c>
      <c r="Z1459">
        <v>0.87</v>
      </c>
      <c r="AA1459">
        <v>2.95</v>
      </c>
      <c r="AB1459">
        <v>3.66</v>
      </c>
      <c r="AC1459">
        <v>4.1500000000000004</v>
      </c>
      <c r="AD1459">
        <v>0.42</v>
      </c>
      <c r="AE1459">
        <v>6.69</v>
      </c>
      <c r="AF1459">
        <v>3.123333333333334</v>
      </c>
      <c r="AG1459" t="str">
        <f>HYPERLINK("https://finance.naver.com/item/fchart.naver?code=232680", "라온테크 차트보기")</f>
        <v>라온테크 차트보기</v>
      </c>
    </row>
    <row r="1460" spans="1:33" x14ac:dyDescent="0.3">
      <c r="A1460" t="s">
        <v>5867</v>
      </c>
      <c r="B1460" t="s">
        <v>55</v>
      </c>
      <c r="C1460" t="s">
        <v>5868</v>
      </c>
      <c r="D1460">
        <v>10001.33</v>
      </c>
      <c r="E1460" t="s">
        <v>5869</v>
      </c>
      <c r="F1460">
        <v>7.2</v>
      </c>
      <c r="G1460">
        <v>0.74000000953674316</v>
      </c>
      <c r="H1460">
        <v>1022</v>
      </c>
      <c r="I1460">
        <v>3.4000000953674321</v>
      </c>
      <c r="J1460" t="s">
        <v>5870</v>
      </c>
      <c r="K1460">
        <v>7270</v>
      </c>
      <c r="L1460">
        <v>7360</v>
      </c>
      <c r="M1460">
        <v>1.24</v>
      </c>
      <c r="N1460">
        <v>-2.9</v>
      </c>
      <c r="O1460">
        <v>-1.68</v>
      </c>
      <c r="P1460">
        <v>4.4400000000000004</v>
      </c>
      <c r="Q1460">
        <v>5.51</v>
      </c>
      <c r="R1460">
        <v>-3.15</v>
      </c>
      <c r="S1460">
        <v>-3.18</v>
      </c>
      <c r="T1460">
        <v>1.1499999999999999</v>
      </c>
      <c r="U1460">
        <v>0.85</v>
      </c>
      <c r="V1460">
        <v>1.1299999999999999</v>
      </c>
      <c r="W1460">
        <v>2.83</v>
      </c>
      <c r="X1460">
        <v>0.63</v>
      </c>
      <c r="Y1460">
        <v>0.94</v>
      </c>
      <c r="Z1460">
        <v>2.52</v>
      </c>
      <c r="AA1460">
        <v>1.98</v>
      </c>
      <c r="AB1460">
        <v>3.93</v>
      </c>
      <c r="AC1460">
        <v>1.95</v>
      </c>
      <c r="AD1460">
        <v>5</v>
      </c>
      <c r="AE1460">
        <v>3.38</v>
      </c>
      <c r="AF1460">
        <v>3.126666666666666</v>
      </c>
      <c r="AG1460" t="str">
        <f>HYPERLINK("https://finance.naver.com/item/fchart.naver?code=036670", "KCI 차트보기")</f>
        <v>KCI 차트보기</v>
      </c>
    </row>
    <row r="1461" spans="1:33" x14ac:dyDescent="0.3">
      <c r="A1461" t="s">
        <v>5871</v>
      </c>
      <c r="B1461" t="s">
        <v>55</v>
      </c>
      <c r="C1461" t="s">
        <v>5872</v>
      </c>
      <c r="D1461">
        <v>289606.24</v>
      </c>
      <c r="E1461" t="s">
        <v>5873</v>
      </c>
      <c r="F1461">
        <v>0</v>
      </c>
      <c r="G1461">
        <v>2.190000057220459</v>
      </c>
      <c r="H1461">
        <v>0</v>
      </c>
      <c r="I1461">
        <v>0</v>
      </c>
      <c r="J1461" t="s">
        <v>5874</v>
      </c>
      <c r="K1461">
        <v>17600</v>
      </c>
      <c r="L1461">
        <v>10660</v>
      </c>
      <c r="M1461">
        <v>-39.43</v>
      </c>
      <c r="N1461">
        <v>0.66</v>
      </c>
      <c r="O1461">
        <v>0.09</v>
      </c>
      <c r="P1461">
        <v>-22.34</v>
      </c>
      <c r="Q1461">
        <v>-5.72</v>
      </c>
      <c r="R1461">
        <v>-13.79</v>
      </c>
      <c r="S1461">
        <v>-9.48</v>
      </c>
      <c r="T1461">
        <v>2.62</v>
      </c>
      <c r="U1461">
        <v>2.48</v>
      </c>
      <c r="V1461">
        <v>3.67</v>
      </c>
      <c r="W1461">
        <v>6.38</v>
      </c>
      <c r="X1461">
        <v>2.15</v>
      </c>
      <c r="Y1461">
        <v>1.87</v>
      </c>
      <c r="Z1461">
        <v>0.25</v>
      </c>
      <c r="AA1461">
        <v>0.04</v>
      </c>
      <c r="AB1461">
        <v>6.09</v>
      </c>
      <c r="AC1461">
        <v>0.9</v>
      </c>
      <c r="AD1461">
        <v>6.41</v>
      </c>
      <c r="AE1461">
        <v>5.07</v>
      </c>
      <c r="AF1461">
        <v>3.1266666666666669</v>
      </c>
      <c r="AG1461" t="str">
        <f>HYPERLINK("https://finance.naver.com/item/fchart.naver?code=108860", "셀바스AI 차트보기")</f>
        <v>셀바스AI 차트보기</v>
      </c>
    </row>
    <row r="1462" spans="1:33" x14ac:dyDescent="0.3">
      <c r="A1462" t="s">
        <v>5875</v>
      </c>
      <c r="B1462" t="s">
        <v>55</v>
      </c>
      <c r="C1462" t="s">
        <v>5876</v>
      </c>
      <c r="D1462">
        <v>12095.76</v>
      </c>
      <c r="E1462" t="s">
        <v>5877</v>
      </c>
      <c r="F1462">
        <v>6.83</v>
      </c>
      <c r="G1462">
        <v>1.129999995231628</v>
      </c>
      <c r="H1462">
        <v>3112</v>
      </c>
      <c r="I1462">
        <v>7.059999942779541</v>
      </c>
      <c r="J1462" t="s">
        <v>5878</v>
      </c>
      <c r="K1462">
        <v>20450</v>
      </c>
      <c r="L1462">
        <v>21250</v>
      </c>
      <c r="M1462">
        <v>3.91</v>
      </c>
      <c r="N1462">
        <v>-1.62</v>
      </c>
      <c r="O1462">
        <v>2.36</v>
      </c>
      <c r="P1462">
        <v>8.58</v>
      </c>
      <c r="Q1462">
        <v>-1.07</v>
      </c>
      <c r="R1462">
        <v>-0.25</v>
      </c>
      <c r="S1462">
        <v>-0.66</v>
      </c>
      <c r="T1462">
        <v>0.61</v>
      </c>
      <c r="U1462">
        <v>0.57999999999999996</v>
      </c>
      <c r="V1462">
        <v>1</v>
      </c>
      <c r="W1462">
        <v>1.26</v>
      </c>
      <c r="X1462">
        <v>0.19</v>
      </c>
      <c r="Y1462">
        <v>0.51</v>
      </c>
      <c r="Z1462">
        <v>2.66</v>
      </c>
      <c r="AA1462">
        <v>4.07</v>
      </c>
      <c r="AB1462">
        <v>8.58</v>
      </c>
      <c r="AC1462">
        <v>0.85</v>
      </c>
      <c r="AD1462">
        <v>1.32</v>
      </c>
      <c r="AE1462">
        <v>1.29</v>
      </c>
      <c r="AF1462">
        <v>3.128333333333333</v>
      </c>
      <c r="AG1462" t="str">
        <f>HYPERLINK("https://finance.naver.com/item/fchart.naver?code=065710", "서호전기 차트보기")</f>
        <v>서호전기 차트보기</v>
      </c>
    </row>
    <row r="1463" spans="1:33" x14ac:dyDescent="0.3">
      <c r="A1463" t="s">
        <v>5879</v>
      </c>
      <c r="B1463" t="s">
        <v>34</v>
      </c>
      <c r="C1463" t="s">
        <v>5880</v>
      </c>
      <c r="D1463">
        <v>139005.76000000001</v>
      </c>
      <c r="E1463" t="s">
        <v>5881</v>
      </c>
      <c r="F1463">
        <v>2.6</v>
      </c>
      <c r="G1463">
        <v>0.2800000011920929</v>
      </c>
      <c r="H1463">
        <v>1446</v>
      </c>
      <c r="I1463">
        <v>3.190000057220459</v>
      </c>
      <c r="J1463" t="s">
        <v>5882</v>
      </c>
      <c r="K1463">
        <v>5610</v>
      </c>
      <c r="L1463">
        <v>3765</v>
      </c>
      <c r="M1463">
        <v>-32.89</v>
      </c>
      <c r="N1463">
        <v>-3.46</v>
      </c>
      <c r="O1463">
        <v>-6.14</v>
      </c>
      <c r="P1463">
        <v>-1.26</v>
      </c>
      <c r="Q1463">
        <v>-11.03</v>
      </c>
      <c r="R1463">
        <v>-8.08</v>
      </c>
      <c r="S1463">
        <v>-5.96</v>
      </c>
      <c r="T1463">
        <v>2.2799999999999998</v>
      </c>
      <c r="U1463">
        <v>1.72</v>
      </c>
      <c r="V1463">
        <v>2.75</v>
      </c>
      <c r="W1463">
        <v>3.41</v>
      </c>
      <c r="X1463">
        <v>1.18</v>
      </c>
      <c r="Y1463">
        <v>1.9</v>
      </c>
      <c r="Z1463">
        <v>1.52</v>
      </c>
      <c r="AA1463">
        <v>3.57</v>
      </c>
      <c r="AB1463">
        <v>0.46</v>
      </c>
      <c r="AC1463">
        <v>3.23</v>
      </c>
      <c r="AD1463">
        <v>6.85</v>
      </c>
      <c r="AE1463">
        <v>3.14</v>
      </c>
      <c r="AF1463">
        <v>3.128333333333333</v>
      </c>
      <c r="AG1463" t="str">
        <f>HYPERLINK("https://finance.naver.com/item/fchart.naver?code=001390", "KG케미칼 차트보기")</f>
        <v>KG케미칼 차트보기</v>
      </c>
    </row>
    <row r="1464" spans="1:33" x14ac:dyDescent="0.3">
      <c r="A1464" t="s">
        <v>5883</v>
      </c>
      <c r="B1464" t="s">
        <v>55</v>
      </c>
      <c r="C1464" t="s">
        <v>5884</v>
      </c>
      <c r="D1464">
        <v>33144.76</v>
      </c>
      <c r="E1464" t="s">
        <v>5885</v>
      </c>
      <c r="F1464">
        <v>17.68</v>
      </c>
      <c r="G1464">
        <v>0.57999998331069946</v>
      </c>
      <c r="H1464">
        <v>327</v>
      </c>
      <c r="I1464">
        <v>1.7300000190734861</v>
      </c>
      <c r="J1464" t="s">
        <v>5886</v>
      </c>
      <c r="K1464">
        <v>10000</v>
      </c>
      <c r="L1464">
        <v>5780</v>
      </c>
      <c r="M1464">
        <v>-42.2</v>
      </c>
      <c r="N1464">
        <v>-6.47</v>
      </c>
      <c r="O1464">
        <v>-5.65</v>
      </c>
      <c r="P1464">
        <v>-8.94</v>
      </c>
      <c r="Q1464">
        <v>-3.9</v>
      </c>
      <c r="R1464">
        <v>-1.52</v>
      </c>
      <c r="S1464">
        <v>-11.66</v>
      </c>
      <c r="T1464">
        <v>1.78</v>
      </c>
      <c r="U1464">
        <v>2.16</v>
      </c>
      <c r="V1464">
        <v>2.71</v>
      </c>
      <c r="W1464">
        <v>5.28</v>
      </c>
      <c r="X1464">
        <v>2.4900000000000002</v>
      </c>
      <c r="Y1464">
        <v>1.48</v>
      </c>
      <c r="Z1464">
        <v>3.63</v>
      </c>
      <c r="AA1464">
        <v>2.62</v>
      </c>
      <c r="AB1464">
        <v>3.3</v>
      </c>
      <c r="AC1464">
        <v>0.74</v>
      </c>
      <c r="AD1464">
        <v>0.61</v>
      </c>
      <c r="AE1464">
        <v>7.88</v>
      </c>
      <c r="AF1464">
        <v>3.13</v>
      </c>
      <c r="AG1464" t="str">
        <f>HYPERLINK("https://finance.naver.com/item/fchart.naver?code=041910", "폴라리스AI파마 차트보기")</f>
        <v>폴라리스AI파마 차트보기</v>
      </c>
    </row>
    <row r="1465" spans="1:33" x14ac:dyDescent="0.3">
      <c r="A1465" t="s">
        <v>5887</v>
      </c>
      <c r="B1465" t="s">
        <v>55</v>
      </c>
      <c r="C1465" t="s">
        <v>5888</v>
      </c>
      <c r="D1465">
        <v>37551.519999999997</v>
      </c>
      <c r="E1465" t="s">
        <v>5889</v>
      </c>
      <c r="F1465">
        <v>1.75</v>
      </c>
      <c r="G1465">
        <v>0.37000000476837158</v>
      </c>
      <c r="H1465">
        <v>343</v>
      </c>
      <c r="I1465">
        <v>0</v>
      </c>
      <c r="J1465" t="s">
        <v>5890</v>
      </c>
      <c r="K1465">
        <v>1256</v>
      </c>
      <c r="L1465">
        <v>599</v>
      </c>
      <c r="M1465">
        <v>-52.31</v>
      </c>
      <c r="N1465">
        <v>-17.04</v>
      </c>
      <c r="O1465">
        <v>-5.19</v>
      </c>
      <c r="P1465">
        <v>-14.14</v>
      </c>
      <c r="Q1465">
        <v>-0.87</v>
      </c>
      <c r="R1465">
        <v>1</v>
      </c>
      <c r="S1465">
        <v>-22.18</v>
      </c>
      <c r="T1465">
        <v>5.5</v>
      </c>
      <c r="U1465">
        <v>1.58</v>
      </c>
      <c r="V1465">
        <v>4.79</v>
      </c>
      <c r="W1465">
        <v>5.53</v>
      </c>
      <c r="X1465">
        <v>4.04</v>
      </c>
      <c r="Y1465">
        <v>2.4500000000000002</v>
      </c>
      <c r="Z1465">
        <v>3.1</v>
      </c>
      <c r="AA1465">
        <v>3.28</v>
      </c>
      <c r="AB1465">
        <v>2.95</v>
      </c>
      <c r="AC1465">
        <v>0.16</v>
      </c>
      <c r="AD1465">
        <v>0.25</v>
      </c>
      <c r="AE1465">
        <v>9.0500000000000007</v>
      </c>
      <c r="AF1465">
        <v>3.1316666666666659</v>
      </c>
      <c r="AG1465" t="str">
        <f>HYPERLINK("https://finance.naver.com/item/fchart.naver?code=043590", "웰킵스하이텍 차트보기")</f>
        <v>웰킵스하이텍 차트보기</v>
      </c>
    </row>
    <row r="1466" spans="1:33" x14ac:dyDescent="0.3">
      <c r="A1466" t="s">
        <v>5891</v>
      </c>
      <c r="B1466" t="s">
        <v>55</v>
      </c>
      <c r="C1466" t="s">
        <v>5892</v>
      </c>
      <c r="D1466">
        <v>374623.52</v>
      </c>
      <c r="E1466" t="s">
        <v>5893</v>
      </c>
      <c r="F1466">
        <v>28.72</v>
      </c>
      <c r="G1466">
        <v>0.40999999642372131</v>
      </c>
      <c r="H1466">
        <v>82</v>
      </c>
      <c r="I1466">
        <v>0</v>
      </c>
      <c r="J1466" t="s">
        <v>5894</v>
      </c>
      <c r="K1466">
        <v>2955</v>
      </c>
      <c r="L1466">
        <v>2355</v>
      </c>
      <c r="M1466">
        <v>-20.3</v>
      </c>
      <c r="N1466">
        <v>0.64</v>
      </c>
      <c r="O1466">
        <v>-7.62</v>
      </c>
      <c r="P1466">
        <v>-3.51</v>
      </c>
      <c r="Q1466">
        <v>-20.68</v>
      </c>
      <c r="R1466">
        <v>22.65</v>
      </c>
      <c r="S1466">
        <v>-5.72</v>
      </c>
      <c r="T1466">
        <v>1.97</v>
      </c>
      <c r="U1466">
        <v>2.5099999999999998</v>
      </c>
      <c r="V1466">
        <v>1.1499999999999999</v>
      </c>
      <c r="W1466">
        <v>5.94</v>
      </c>
      <c r="X1466">
        <v>6.41</v>
      </c>
      <c r="Y1466">
        <v>1.06</v>
      </c>
      <c r="Z1466">
        <v>0.32</v>
      </c>
      <c r="AA1466">
        <v>3.04</v>
      </c>
      <c r="AB1466">
        <v>3.05</v>
      </c>
      <c r="AC1466">
        <v>3.48</v>
      </c>
      <c r="AD1466">
        <v>3.53</v>
      </c>
      <c r="AE1466">
        <v>5.4</v>
      </c>
      <c r="AF1466">
        <v>3.1366666666666672</v>
      </c>
      <c r="AG1466" t="str">
        <f>HYPERLINK("https://finance.naver.com/item/fchart.naver?code=046940", "우원개발 차트보기")</f>
        <v>우원개발 차트보기</v>
      </c>
    </row>
    <row r="1467" spans="1:33" x14ac:dyDescent="0.3">
      <c r="A1467" t="s">
        <v>5895</v>
      </c>
      <c r="B1467" t="s">
        <v>55</v>
      </c>
      <c r="C1467" t="s">
        <v>5896</v>
      </c>
      <c r="D1467">
        <v>24090</v>
      </c>
      <c r="E1467" t="s">
        <v>5897</v>
      </c>
      <c r="F1467">
        <v>762.86</v>
      </c>
      <c r="G1467">
        <v>0.89999997615814209</v>
      </c>
      <c r="H1467">
        <v>7</v>
      </c>
      <c r="I1467">
        <v>1.120000004768372</v>
      </c>
      <c r="J1467" t="s">
        <v>5898</v>
      </c>
      <c r="K1467">
        <v>7460</v>
      </c>
      <c r="L1467">
        <v>5340</v>
      </c>
      <c r="M1467">
        <v>-28.42</v>
      </c>
      <c r="N1467">
        <v>-5.49</v>
      </c>
      <c r="O1467">
        <v>-3.56</v>
      </c>
      <c r="P1467">
        <v>-2.13</v>
      </c>
      <c r="Q1467">
        <v>-2.88</v>
      </c>
      <c r="R1467">
        <v>-16.46</v>
      </c>
      <c r="S1467">
        <v>-10.1</v>
      </c>
      <c r="T1467">
        <v>1.59</v>
      </c>
      <c r="U1467">
        <v>1.2</v>
      </c>
      <c r="V1467">
        <v>1.64</v>
      </c>
      <c r="W1467">
        <v>3.7</v>
      </c>
      <c r="X1467">
        <v>4.33</v>
      </c>
      <c r="Y1467">
        <v>1.55</v>
      </c>
      <c r="Z1467">
        <v>3.45</v>
      </c>
      <c r="AA1467">
        <v>2.97</v>
      </c>
      <c r="AB1467">
        <v>1.3</v>
      </c>
      <c r="AC1467">
        <v>0.78</v>
      </c>
      <c r="AD1467">
        <v>3.8</v>
      </c>
      <c r="AE1467">
        <v>6.52</v>
      </c>
      <c r="AF1467">
        <v>3.1366666666666672</v>
      </c>
      <c r="AG1467" t="str">
        <f>HYPERLINK("https://finance.naver.com/item/fchart.naver?code=296640", "이노룰스 차트보기")</f>
        <v>이노룰스 차트보기</v>
      </c>
    </row>
    <row r="1468" spans="1:33" x14ac:dyDescent="0.3">
      <c r="A1468" t="s">
        <v>5899</v>
      </c>
      <c r="B1468" t="s">
        <v>34</v>
      </c>
      <c r="C1468" t="s">
        <v>5900</v>
      </c>
      <c r="D1468">
        <v>32839.19</v>
      </c>
      <c r="E1468" t="s">
        <v>5901</v>
      </c>
      <c r="F1468">
        <v>0</v>
      </c>
      <c r="G1468">
        <v>0.62000000476837158</v>
      </c>
      <c r="H1468">
        <v>0</v>
      </c>
      <c r="I1468">
        <v>0</v>
      </c>
      <c r="J1468" t="s">
        <v>5902</v>
      </c>
      <c r="K1468">
        <v>10600</v>
      </c>
      <c r="L1468">
        <v>18100</v>
      </c>
      <c r="M1468">
        <v>70.75</v>
      </c>
      <c r="N1468">
        <v>-0.11</v>
      </c>
      <c r="O1468">
        <v>-0.17</v>
      </c>
      <c r="P1468">
        <v>38.409999999999997</v>
      </c>
      <c r="Q1468">
        <v>-3.75</v>
      </c>
      <c r="R1468">
        <v>-5.21</v>
      </c>
      <c r="S1468">
        <v>4.18</v>
      </c>
      <c r="T1468">
        <v>0.03</v>
      </c>
      <c r="U1468">
        <v>0.15</v>
      </c>
      <c r="V1468">
        <v>3.98</v>
      </c>
      <c r="W1468">
        <v>3.66</v>
      </c>
      <c r="X1468">
        <v>2.17</v>
      </c>
      <c r="Y1468">
        <v>4.34</v>
      </c>
      <c r="Z1468">
        <v>3.67</v>
      </c>
      <c r="AA1468">
        <v>1.1299999999999999</v>
      </c>
      <c r="AB1468">
        <v>9.65</v>
      </c>
      <c r="AC1468">
        <v>1.02</v>
      </c>
      <c r="AD1468">
        <v>2.4</v>
      </c>
      <c r="AE1468">
        <v>0.96</v>
      </c>
      <c r="AF1468">
        <v>3.1383333333333332</v>
      </c>
      <c r="AG1468" t="str">
        <f>HYPERLINK("https://finance.naver.com/item/fchart.naver?code=034300", "신세계건설 차트보기")</f>
        <v>신세계건설 차트보기</v>
      </c>
    </row>
    <row r="1469" spans="1:33" x14ac:dyDescent="0.3">
      <c r="A1469" t="s">
        <v>5903</v>
      </c>
      <c r="B1469" t="s">
        <v>34</v>
      </c>
      <c r="C1469" t="s">
        <v>5904</v>
      </c>
      <c r="D1469">
        <v>176870.24</v>
      </c>
      <c r="E1469" t="s">
        <v>5905</v>
      </c>
      <c r="F1469">
        <v>8.1999999999999993</v>
      </c>
      <c r="G1469">
        <v>1.120000004768372</v>
      </c>
      <c r="H1469">
        <v>14154</v>
      </c>
      <c r="I1469">
        <v>5.429999828338623</v>
      </c>
      <c r="J1469" t="s">
        <v>5906</v>
      </c>
      <c r="K1469">
        <v>95537</v>
      </c>
      <c r="L1469">
        <v>116100</v>
      </c>
      <c r="M1469">
        <v>21.52</v>
      </c>
      <c r="N1469">
        <v>-4.76</v>
      </c>
      <c r="O1469">
        <v>2.95</v>
      </c>
      <c r="P1469">
        <v>8.44</v>
      </c>
      <c r="Q1469">
        <v>-7.82</v>
      </c>
      <c r="R1469">
        <v>1</v>
      </c>
      <c r="S1469">
        <v>16.43</v>
      </c>
      <c r="T1469">
        <v>1.08</v>
      </c>
      <c r="U1469">
        <v>2.25</v>
      </c>
      <c r="V1469">
        <v>1.86</v>
      </c>
      <c r="W1469">
        <v>2.98</v>
      </c>
      <c r="X1469">
        <v>2.81</v>
      </c>
      <c r="Y1469">
        <v>2.94</v>
      </c>
      <c r="Z1469">
        <v>4.41</v>
      </c>
      <c r="AA1469">
        <v>1.31</v>
      </c>
      <c r="AB1469">
        <v>4.54</v>
      </c>
      <c r="AC1469">
        <v>2.62</v>
      </c>
      <c r="AD1469">
        <v>0.36</v>
      </c>
      <c r="AE1469">
        <v>5.59</v>
      </c>
      <c r="AF1469">
        <v>3.1383333333333341</v>
      </c>
      <c r="AG1469" t="str">
        <f>HYPERLINK("https://finance.naver.com/item/fchart.naver?code=086280", "현대글로비스 차트보기")</f>
        <v>현대글로비스 차트보기</v>
      </c>
    </row>
    <row r="1470" spans="1:33" x14ac:dyDescent="0.3">
      <c r="A1470" t="s">
        <v>5907</v>
      </c>
      <c r="B1470" t="s">
        <v>34</v>
      </c>
      <c r="C1470" t="s">
        <v>5908</v>
      </c>
      <c r="D1470">
        <v>93210.48</v>
      </c>
      <c r="E1470" t="s">
        <v>5909</v>
      </c>
      <c r="F1470">
        <v>5.4</v>
      </c>
      <c r="G1470">
        <v>0.23000000417232511</v>
      </c>
      <c r="H1470">
        <v>2147</v>
      </c>
      <c r="I1470">
        <v>2.589999914169312</v>
      </c>
      <c r="J1470" t="s">
        <v>5910</v>
      </c>
      <c r="K1470">
        <v>8250</v>
      </c>
      <c r="L1470">
        <v>11600</v>
      </c>
      <c r="M1470">
        <v>40.61</v>
      </c>
      <c r="N1470">
        <v>2.65</v>
      </c>
      <c r="O1470">
        <v>4.46</v>
      </c>
      <c r="P1470">
        <v>-2.15</v>
      </c>
      <c r="Q1470">
        <v>9.7200000000000006</v>
      </c>
      <c r="R1470">
        <v>20.82</v>
      </c>
      <c r="S1470">
        <v>1.25</v>
      </c>
      <c r="T1470">
        <v>2.25</v>
      </c>
      <c r="U1470">
        <v>1.32</v>
      </c>
      <c r="V1470">
        <v>2.31</v>
      </c>
      <c r="W1470">
        <v>2.74</v>
      </c>
      <c r="X1470">
        <v>2.3199999999999998</v>
      </c>
      <c r="Y1470">
        <v>1.5</v>
      </c>
      <c r="Z1470">
        <v>1.18</v>
      </c>
      <c r="AA1470">
        <v>3.38</v>
      </c>
      <c r="AB1470">
        <v>0.93</v>
      </c>
      <c r="AC1470">
        <v>3.55</v>
      </c>
      <c r="AD1470">
        <v>8.9700000000000006</v>
      </c>
      <c r="AE1470">
        <v>0.83</v>
      </c>
      <c r="AF1470">
        <v>3.1399999999999988</v>
      </c>
      <c r="AG1470" t="str">
        <f>HYPERLINK("https://finance.naver.com/item/fchart.naver?code=012630", "HDC 차트보기")</f>
        <v>HDC 차트보기</v>
      </c>
    </row>
    <row r="1471" spans="1:33" x14ac:dyDescent="0.3">
      <c r="A1471" t="s">
        <v>5911</v>
      </c>
      <c r="B1471" t="s">
        <v>34</v>
      </c>
      <c r="C1471" t="s">
        <v>5912</v>
      </c>
      <c r="D1471">
        <v>32765.759999999998</v>
      </c>
      <c r="E1471" t="s">
        <v>5913</v>
      </c>
      <c r="F1471">
        <v>8.4</v>
      </c>
      <c r="G1471">
        <v>0.34999999403953552</v>
      </c>
      <c r="H1471">
        <v>28917</v>
      </c>
      <c r="I1471">
        <v>3.2899999618530269</v>
      </c>
      <c r="J1471" t="s">
        <v>5914</v>
      </c>
      <c r="K1471">
        <v>295000</v>
      </c>
      <c r="L1471">
        <v>243000</v>
      </c>
      <c r="M1471">
        <v>-17.63</v>
      </c>
      <c r="N1471">
        <v>-6.54</v>
      </c>
      <c r="O1471">
        <v>-11.91</v>
      </c>
      <c r="P1471">
        <v>5.24</v>
      </c>
      <c r="Q1471">
        <v>-13.18</v>
      </c>
      <c r="R1471">
        <v>7.53</v>
      </c>
      <c r="S1471">
        <v>2.4900000000000002</v>
      </c>
      <c r="T1471">
        <v>2.5299999999999998</v>
      </c>
      <c r="U1471">
        <v>1.67</v>
      </c>
      <c r="V1471">
        <v>2.81</v>
      </c>
      <c r="W1471">
        <v>3.51</v>
      </c>
      <c r="X1471">
        <v>2.76</v>
      </c>
      <c r="Y1471">
        <v>3.15</v>
      </c>
      <c r="Z1471">
        <v>2.58</v>
      </c>
      <c r="AA1471">
        <v>7.13</v>
      </c>
      <c r="AB1471">
        <v>1.86</v>
      </c>
      <c r="AC1471">
        <v>3.75</v>
      </c>
      <c r="AD1471">
        <v>2.73</v>
      </c>
      <c r="AE1471">
        <v>0.79</v>
      </c>
      <c r="AF1471">
        <v>3.14</v>
      </c>
      <c r="AG1471" t="str">
        <f>HYPERLINK("https://finance.naver.com/item/fchart.naver?code=002380", "KCC 차트보기")</f>
        <v>KCC 차트보기</v>
      </c>
    </row>
    <row r="1472" spans="1:33" x14ac:dyDescent="0.3">
      <c r="A1472" t="s">
        <v>5915</v>
      </c>
      <c r="B1472" t="s">
        <v>55</v>
      </c>
      <c r="C1472" t="s">
        <v>5916</v>
      </c>
      <c r="D1472">
        <v>55540.05</v>
      </c>
      <c r="E1472" t="s">
        <v>5917</v>
      </c>
      <c r="F1472">
        <v>6.63</v>
      </c>
      <c r="G1472">
        <v>0.74000000953674316</v>
      </c>
      <c r="H1472">
        <v>424</v>
      </c>
      <c r="I1472">
        <v>3.559999942779541</v>
      </c>
      <c r="J1472" t="s">
        <v>5918</v>
      </c>
      <c r="K1472">
        <v>3065</v>
      </c>
      <c r="L1472">
        <v>2810</v>
      </c>
      <c r="M1472">
        <v>-8.32</v>
      </c>
      <c r="N1472">
        <v>0</v>
      </c>
      <c r="O1472">
        <v>6.25</v>
      </c>
      <c r="P1472">
        <v>-1.29</v>
      </c>
      <c r="Q1472">
        <v>-6.95</v>
      </c>
      <c r="R1472">
        <v>-7.47</v>
      </c>
      <c r="S1472">
        <v>-1.1200000000000001</v>
      </c>
      <c r="T1472">
        <v>0.59</v>
      </c>
      <c r="U1472">
        <v>1.18</v>
      </c>
      <c r="V1472">
        <v>0.98</v>
      </c>
      <c r="W1472">
        <v>1.67</v>
      </c>
      <c r="X1472">
        <v>1</v>
      </c>
      <c r="Y1472">
        <v>1.87</v>
      </c>
      <c r="Z1472">
        <v>0</v>
      </c>
      <c r="AA1472">
        <v>5.3</v>
      </c>
      <c r="AB1472">
        <v>1.32</v>
      </c>
      <c r="AC1472">
        <v>4.16</v>
      </c>
      <c r="AD1472">
        <v>7.47</v>
      </c>
      <c r="AE1472">
        <v>0.6</v>
      </c>
      <c r="AF1472">
        <v>3.1416666666666671</v>
      </c>
      <c r="AG1472" t="str">
        <f>HYPERLINK("https://finance.naver.com/item/fchart.naver?code=204020", "그리티 차트보기")</f>
        <v>그리티 차트보기</v>
      </c>
    </row>
    <row r="1473" spans="1:33" x14ac:dyDescent="0.3">
      <c r="A1473" t="s">
        <v>5919</v>
      </c>
      <c r="B1473" t="s">
        <v>55</v>
      </c>
      <c r="C1473" t="s">
        <v>5920</v>
      </c>
      <c r="D1473">
        <v>841473.29</v>
      </c>
      <c r="E1473" t="s">
        <v>5921</v>
      </c>
      <c r="F1473">
        <v>6.13</v>
      </c>
      <c r="G1473">
        <v>1.0199999809265139</v>
      </c>
      <c r="H1473">
        <v>476</v>
      </c>
      <c r="I1473">
        <v>0</v>
      </c>
      <c r="J1473" t="s">
        <v>5922</v>
      </c>
      <c r="K1473">
        <v>3895</v>
      </c>
      <c r="L1473">
        <v>2920</v>
      </c>
      <c r="M1473">
        <v>-25.03</v>
      </c>
      <c r="N1473">
        <v>-1.52</v>
      </c>
      <c r="O1473">
        <v>-6.82</v>
      </c>
      <c r="P1473">
        <v>5.34</v>
      </c>
      <c r="Q1473">
        <v>-5.62</v>
      </c>
      <c r="R1473">
        <v>-8.73</v>
      </c>
      <c r="S1473">
        <v>-8.49</v>
      </c>
      <c r="T1473">
        <v>2.2999999999999998</v>
      </c>
      <c r="U1473">
        <v>4.4800000000000004</v>
      </c>
      <c r="V1473">
        <v>2.57</v>
      </c>
      <c r="W1473">
        <v>4.26</v>
      </c>
      <c r="X1473">
        <v>1.66</v>
      </c>
      <c r="Y1473">
        <v>1.06</v>
      </c>
      <c r="Z1473">
        <v>0.66</v>
      </c>
      <c r="AA1473">
        <v>1.52</v>
      </c>
      <c r="AB1473">
        <v>2.08</v>
      </c>
      <c r="AC1473">
        <v>1.32</v>
      </c>
      <c r="AD1473">
        <v>5.26</v>
      </c>
      <c r="AE1473">
        <v>8.01</v>
      </c>
      <c r="AF1473">
        <v>3.1416666666666671</v>
      </c>
      <c r="AG1473" t="str">
        <f>HYPERLINK("https://finance.naver.com/item/fchart.naver?code=099440", "스맥 차트보기")</f>
        <v>스맥 차트보기</v>
      </c>
    </row>
    <row r="1474" spans="1:33" x14ac:dyDescent="0.3">
      <c r="A1474" t="s">
        <v>5923</v>
      </c>
      <c r="B1474" t="s">
        <v>34</v>
      </c>
      <c r="C1474" t="s">
        <v>5924</v>
      </c>
      <c r="D1474">
        <v>845730.48</v>
      </c>
      <c r="E1474" t="s">
        <v>5925</v>
      </c>
      <c r="F1474">
        <v>0</v>
      </c>
      <c r="G1474">
        <v>0.36000001430511469</v>
      </c>
      <c r="H1474">
        <v>0</v>
      </c>
      <c r="I1474">
        <v>0</v>
      </c>
      <c r="J1474" t="s">
        <v>5926</v>
      </c>
      <c r="K1474">
        <v>28900</v>
      </c>
      <c r="L1474">
        <v>40000</v>
      </c>
      <c r="M1474">
        <v>38.409999999999997</v>
      </c>
      <c r="N1474">
        <v>5.96</v>
      </c>
      <c r="O1474">
        <v>-8.84</v>
      </c>
      <c r="P1474">
        <v>-8.81</v>
      </c>
      <c r="Q1474">
        <v>20.83</v>
      </c>
      <c r="R1474">
        <v>-15.24</v>
      </c>
      <c r="S1474">
        <v>34.880000000000003</v>
      </c>
      <c r="T1474">
        <v>4.26</v>
      </c>
      <c r="U1474">
        <v>2.31</v>
      </c>
      <c r="V1474">
        <v>3.75</v>
      </c>
      <c r="W1474">
        <v>4.6399999999999997</v>
      </c>
      <c r="X1474">
        <v>4.97</v>
      </c>
      <c r="Y1474">
        <v>9.4</v>
      </c>
      <c r="Z1474">
        <v>1.4</v>
      </c>
      <c r="AA1474">
        <v>3.83</v>
      </c>
      <c r="AB1474">
        <v>2.35</v>
      </c>
      <c r="AC1474">
        <v>4.49</v>
      </c>
      <c r="AD1474">
        <v>3.07</v>
      </c>
      <c r="AE1474">
        <v>3.71</v>
      </c>
      <c r="AF1474">
        <v>3.1416666666666671</v>
      </c>
      <c r="AG1474" t="str">
        <f>HYPERLINK("https://finance.naver.com/item/fchart.naver?code=036460", "한국가스공사 차트보기")</f>
        <v>한국가스공사 차트보기</v>
      </c>
    </row>
    <row r="1475" spans="1:33" x14ac:dyDescent="0.3">
      <c r="A1475" t="s">
        <v>5927</v>
      </c>
      <c r="B1475" t="s">
        <v>55</v>
      </c>
      <c r="C1475" t="s">
        <v>5928</v>
      </c>
      <c r="D1475">
        <v>7580453.6200000001</v>
      </c>
      <c r="E1475" t="s">
        <v>5929</v>
      </c>
      <c r="F1475">
        <v>0</v>
      </c>
      <c r="G1475">
        <v>6.369999885559082</v>
      </c>
      <c r="H1475">
        <v>0</v>
      </c>
      <c r="I1475">
        <v>0</v>
      </c>
      <c r="J1475" t="s">
        <v>5930</v>
      </c>
      <c r="K1475">
        <v>1736</v>
      </c>
      <c r="L1475">
        <v>5240</v>
      </c>
      <c r="M1475">
        <v>201.84</v>
      </c>
      <c r="N1475">
        <v>15.29</v>
      </c>
      <c r="O1475">
        <v>18.57</v>
      </c>
      <c r="P1475">
        <v>75.22</v>
      </c>
      <c r="Q1475">
        <v>-14.48</v>
      </c>
      <c r="R1475">
        <v>42.62</v>
      </c>
      <c r="S1475">
        <v>-15.83</v>
      </c>
      <c r="T1475">
        <v>9.4600000000000009</v>
      </c>
      <c r="U1475">
        <v>8.92</v>
      </c>
      <c r="V1475">
        <v>10.92</v>
      </c>
      <c r="W1475">
        <v>7.9</v>
      </c>
      <c r="X1475">
        <v>10.43</v>
      </c>
      <c r="Y1475">
        <v>6.75</v>
      </c>
      <c r="Z1475">
        <v>1.62</v>
      </c>
      <c r="AA1475">
        <v>2.08</v>
      </c>
      <c r="AB1475">
        <v>6.89</v>
      </c>
      <c r="AC1475">
        <v>1.83</v>
      </c>
      <c r="AD1475">
        <v>4.09</v>
      </c>
      <c r="AE1475">
        <v>2.35</v>
      </c>
      <c r="AF1475">
        <v>3.1433333333333331</v>
      </c>
      <c r="AG1475" t="str">
        <f>HYPERLINK("https://finance.naver.com/item/fchart.naver?code=378800", "샤페론 차트보기")</f>
        <v>샤페론 차트보기</v>
      </c>
    </row>
    <row r="1476" spans="1:33" x14ac:dyDescent="0.3">
      <c r="A1476" t="s">
        <v>5931</v>
      </c>
      <c r="B1476" t="s">
        <v>34</v>
      </c>
      <c r="C1476" t="s">
        <v>5932</v>
      </c>
      <c r="D1476">
        <v>45971.24</v>
      </c>
      <c r="E1476" t="s">
        <v>5933</v>
      </c>
      <c r="F1476">
        <v>0</v>
      </c>
      <c r="G1476">
        <v>0.69999998807907104</v>
      </c>
      <c r="H1476">
        <v>0</v>
      </c>
      <c r="I1476">
        <v>0</v>
      </c>
      <c r="J1476" t="s">
        <v>5934</v>
      </c>
      <c r="K1476">
        <v>5060</v>
      </c>
      <c r="L1476">
        <v>4185</v>
      </c>
      <c r="M1476">
        <v>-17.29</v>
      </c>
      <c r="N1476">
        <v>-4.5599999999999996</v>
      </c>
      <c r="O1476">
        <v>-1.34</v>
      </c>
      <c r="P1476">
        <v>-5.74</v>
      </c>
      <c r="Q1476">
        <v>-2.16</v>
      </c>
      <c r="R1476">
        <v>6.36</v>
      </c>
      <c r="S1476">
        <v>-7.11</v>
      </c>
      <c r="T1476">
        <v>1.37</v>
      </c>
      <c r="U1476">
        <v>1.49</v>
      </c>
      <c r="V1476">
        <v>1.76</v>
      </c>
      <c r="W1476">
        <v>4.05</v>
      </c>
      <c r="X1476">
        <v>1.32</v>
      </c>
      <c r="Y1476">
        <v>1.18</v>
      </c>
      <c r="Z1476">
        <v>3.33</v>
      </c>
      <c r="AA1476">
        <v>0.9</v>
      </c>
      <c r="AB1476">
        <v>3.26</v>
      </c>
      <c r="AC1476">
        <v>0.53</v>
      </c>
      <c r="AD1476">
        <v>4.82</v>
      </c>
      <c r="AE1476">
        <v>6.03</v>
      </c>
      <c r="AF1476">
        <v>3.145</v>
      </c>
      <c r="AG1476" t="str">
        <f>HYPERLINK("https://finance.naver.com/item/fchart.naver?code=000220", "유유제약 차트보기")</f>
        <v>유유제약 차트보기</v>
      </c>
    </row>
    <row r="1477" spans="1:33" x14ac:dyDescent="0.3">
      <c r="A1477" t="s">
        <v>5935</v>
      </c>
      <c r="B1477" t="s">
        <v>55</v>
      </c>
      <c r="C1477" t="s">
        <v>5936</v>
      </c>
      <c r="D1477">
        <v>45761.14</v>
      </c>
      <c r="E1477" t="s">
        <v>5937</v>
      </c>
      <c r="F1477">
        <v>5.13</v>
      </c>
      <c r="G1477">
        <v>0.37999999523162842</v>
      </c>
      <c r="H1477">
        <v>451</v>
      </c>
      <c r="I1477">
        <v>2.160000085830688</v>
      </c>
      <c r="J1477" t="s">
        <v>5938</v>
      </c>
      <c r="K1477">
        <v>2295</v>
      </c>
      <c r="L1477">
        <v>2315</v>
      </c>
      <c r="M1477">
        <v>0.87</v>
      </c>
      <c r="N1477">
        <v>3.12</v>
      </c>
      <c r="O1477">
        <v>4.9400000000000004</v>
      </c>
      <c r="P1477">
        <v>-3.7</v>
      </c>
      <c r="Q1477">
        <v>-5.86</v>
      </c>
      <c r="R1477">
        <v>-6.76</v>
      </c>
      <c r="S1477">
        <v>6.51</v>
      </c>
      <c r="T1477">
        <v>1.54</v>
      </c>
      <c r="U1477">
        <v>1.03</v>
      </c>
      <c r="V1477">
        <v>1.25</v>
      </c>
      <c r="W1477">
        <v>2.27</v>
      </c>
      <c r="X1477">
        <v>1.88</v>
      </c>
      <c r="Y1477">
        <v>2.2400000000000002</v>
      </c>
      <c r="Z1477">
        <v>2.0299999999999998</v>
      </c>
      <c r="AA1477">
        <v>4.8</v>
      </c>
      <c r="AB1477">
        <v>2.96</v>
      </c>
      <c r="AC1477">
        <v>2.58</v>
      </c>
      <c r="AD1477">
        <v>3.6</v>
      </c>
      <c r="AE1477">
        <v>2.91</v>
      </c>
      <c r="AF1477">
        <v>3.1466666666666669</v>
      </c>
      <c r="AG1477" t="str">
        <f>HYPERLINK("https://finance.naver.com/item/fchart.naver?code=050860", "아세아텍 차트보기")</f>
        <v>아세아텍 차트보기</v>
      </c>
    </row>
    <row r="1478" spans="1:33" x14ac:dyDescent="0.3">
      <c r="A1478" t="s">
        <v>5939</v>
      </c>
      <c r="B1478" t="s">
        <v>55</v>
      </c>
      <c r="C1478" t="s">
        <v>5940</v>
      </c>
      <c r="D1478">
        <v>179962.81</v>
      </c>
      <c r="E1478" t="s">
        <v>5941</v>
      </c>
      <c r="F1478">
        <v>0</v>
      </c>
      <c r="G1478">
        <v>1.429999947547913</v>
      </c>
      <c r="H1478">
        <v>0</v>
      </c>
      <c r="I1478">
        <v>0</v>
      </c>
      <c r="J1478" t="s">
        <v>5942</v>
      </c>
      <c r="K1478">
        <v>6410</v>
      </c>
      <c r="L1478">
        <v>5960</v>
      </c>
      <c r="M1478">
        <v>-7.02</v>
      </c>
      <c r="N1478">
        <v>-1.65</v>
      </c>
      <c r="O1478">
        <v>17.04</v>
      </c>
      <c r="P1478">
        <v>-10.54</v>
      </c>
      <c r="Q1478">
        <v>-10.76</v>
      </c>
      <c r="R1478">
        <v>-17.309999999999999</v>
      </c>
      <c r="S1478">
        <v>-16.05</v>
      </c>
      <c r="T1478">
        <v>3.99</v>
      </c>
      <c r="U1478">
        <v>8.4</v>
      </c>
      <c r="V1478">
        <v>3.61</v>
      </c>
      <c r="W1478">
        <v>3.12</v>
      </c>
      <c r="X1478">
        <v>2.41</v>
      </c>
      <c r="Y1478">
        <v>5.56</v>
      </c>
      <c r="Z1478">
        <v>0.41</v>
      </c>
      <c r="AA1478">
        <v>2.0299999999999998</v>
      </c>
      <c r="AB1478">
        <v>2.92</v>
      </c>
      <c r="AC1478">
        <v>3.45</v>
      </c>
      <c r="AD1478">
        <v>7.18</v>
      </c>
      <c r="AE1478">
        <v>2.89</v>
      </c>
      <c r="AF1478">
        <v>3.1466666666666669</v>
      </c>
      <c r="AG1478" t="str">
        <f>HYPERLINK("https://finance.naver.com/item/fchart.naver?code=361670", "삼영에스앤씨 차트보기")</f>
        <v>삼영에스앤씨 차트보기</v>
      </c>
    </row>
    <row r="1479" spans="1:33" x14ac:dyDescent="0.3">
      <c r="A1479" t="s">
        <v>5943</v>
      </c>
      <c r="B1479" t="s">
        <v>34</v>
      </c>
      <c r="C1479" t="s">
        <v>5944</v>
      </c>
      <c r="D1479">
        <v>132321.67000000001</v>
      </c>
      <c r="E1479" t="s">
        <v>5945</v>
      </c>
      <c r="F1479">
        <v>41.01</v>
      </c>
      <c r="G1479">
        <v>3.1400001049041748</v>
      </c>
      <c r="H1479">
        <v>840</v>
      </c>
      <c r="I1479">
        <v>0.87000000476837158</v>
      </c>
      <c r="J1479" t="s">
        <v>5946</v>
      </c>
      <c r="K1479">
        <v>71900</v>
      </c>
      <c r="L1479">
        <v>34450</v>
      </c>
      <c r="M1479">
        <v>-52.09</v>
      </c>
      <c r="N1479">
        <v>-2.13</v>
      </c>
      <c r="O1479">
        <v>-22.03</v>
      </c>
      <c r="P1479">
        <v>16.59</v>
      </c>
      <c r="Q1479">
        <v>-12.97</v>
      </c>
      <c r="R1479">
        <v>-27.01</v>
      </c>
      <c r="S1479">
        <v>6.52</v>
      </c>
      <c r="T1479">
        <v>3.93</v>
      </c>
      <c r="U1479">
        <v>4.76</v>
      </c>
      <c r="V1479">
        <v>6.52</v>
      </c>
      <c r="W1479">
        <v>6.7</v>
      </c>
      <c r="X1479">
        <v>3.62</v>
      </c>
      <c r="Y1479">
        <v>3.64</v>
      </c>
      <c r="Z1479">
        <v>0.54</v>
      </c>
      <c r="AA1479">
        <v>4.63</v>
      </c>
      <c r="AB1479">
        <v>2.54</v>
      </c>
      <c r="AC1479">
        <v>1.94</v>
      </c>
      <c r="AD1479">
        <v>7.46</v>
      </c>
      <c r="AE1479">
        <v>1.79</v>
      </c>
      <c r="AF1479">
        <v>3.15</v>
      </c>
      <c r="AG1479" t="str">
        <f>HYPERLINK("https://finance.naver.com/item/fchart.naver?code=009470", "삼화전기 차트보기")</f>
        <v>삼화전기 차트보기</v>
      </c>
    </row>
    <row r="1480" spans="1:33" x14ac:dyDescent="0.3">
      <c r="A1480" t="s">
        <v>5947</v>
      </c>
      <c r="B1480" t="s">
        <v>34</v>
      </c>
      <c r="C1480" t="s">
        <v>5948</v>
      </c>
      <c r="D1480">
        <v>418036.62</v>
      </c>
      <c r="E1480" t="s">
        <v>5949</v>
      </c>
      <c r="F1480">
        <v>6.02</v>
      </c>
      <c r="G1480">
        <v>0.40000000596046448</v>
      </c>
      <c r="H1480">
        <v>4767</v>
      </c>
      <c r="I1480">
        <v>2.089999914169312</v>
      </c>
      <c r="J1480" t="s">
        <v>5950</v>
      </c>
      <c r="K1480">
        <v>35100</v>
      </c>
      <c r="L1480">
        <v>28700</v>
      </c>
      <c r="M1480">
        <v>-18.23</v>
      </c>
      <c r="N1480">
        <v>2.14</v>
      </c>
      <c r="O1480">
        <v>-7.92</v>
      </c>
      <c r="P1480">
        <v>-5.13</v>
      </c>
      <c r="Q1480">
        <v>-3.47</v>
      </c>
      <c r="R1480">
        <v>0.75</v>
      </c>
      <c r="S1480">
        <v>-5.32</v>
      </c>
      <c r="T1480">
        <v>2.2400000000000002</v>
      </c>
      <c r="U1480">
        <v>1.1100000000000001</v>
      </c>
      <c r="V1480">
        <v>1.55</v>
      </c>
      <c r="W1480">
        <v>2.4700000000000002</v>
      </c>
      <c r="X1480">
        <v>2.02</v>
      </c>
      <c r="Y1480">
        <v>0.93</v>
      </c>
      <c r="Z1480">
        <v>0.96</v>
      </c>
      <c r="AA1480">
        <v>7.14</v>
      </c>
      <c r="AB1480">
        <v>3.31</v>
      </c>
      <c r="AC1480">
        <v>1.4</v>
      </c>
      <c r="AD1480">
        <v>0.37</v>
      </c>
      <c r="AE1480">
        <v>5.72</v>
      </c>
      <c r="AF1480">
        <v>3.15</v>
      </c>
      <c r="AG1480" t="str">
        <f>HYPERLINK("https://finance.naver.com/item/fchart.naver?code=000720", "현대건설 차트보기")</f>
        <v>현대건설 차트보기</v>
      </c>
    </row>
    <row r="1481" spans="1:33" x14ac:dyDescent="0.3">
      <c r="A1481" t="s">
        <v>5951</v>
      </c>
      <c r="B1481" t="s">
        <v>34</v>
      </c>
      <c r="C1481" t="s">
        <v>5952</v>
      </c>
      <c r="D1481">
        <v>109855.24</v>
      </c>
      <c r="E1481" t="s">
        <v>5953</v>
      </c>
      <c r="F1481">
        <v>5.88</v>
      </c>
      <c r="G1481">
        <v>1.4099999666213989</v>
      </c>
      <c r="H1481">
        <v>8538</v>
      </c>
      <c r="I1481">
        <v>7.9699997901916504</v>
      </c>
      <c r="J1481" t="s">
        <v>5954</v>
      </c>
      <c r="K1481">
        <v>41450</v>
      </c>
      <c r="L1481">
        <v>50200</v>
      </c>
      <c r="M1481">
        <v>21.11</v>
      </c>
      <c r="N1481">
        <v>9.3699999999999992</v>
      </c>
      <c r="O1481">
        <v>8.11</v>
      </c>
      <c r="P1481">
        <v>8.4600000000000009</v>
      </c>
      <c r="Q1481">
        <v>-3.45</v>
      </c>
      <c r="R1481">
        <v>-0.81</v>
      </c>
      <c r="S1481">
        <v>9.5299999999999994</v>
      </c>
      <c r="T1481">
        <v>3.45</v>
      </c>
      <c r="U1481">
        <v>1.67</v>
      </c>
      <c r="V1481">
        <v>1.44</v>
      </c>
      <c r="W1481">
        <v>2.13</v>
      </c>
      <c r="X1481">
        <v>3.09</v>
      </c>
      <c r="Y1481">
        <v>2.68</v>
      </c>
      <c r="Z1481">
        <v>2.72</v>
      </c>
      <c r="AA1481">
        <v>4.8600000000000003</v>
      </c>
      <c r="AB1481">
        <v>5.88</v>
      </c>
      <c r="AC1481">
        <v>1.62</v>
      </c>
      <c r="AD1481">
        <v>0.26</v>
      </c>
      <c r="AE1481">
        <v>3.56</v>
      </c>
      <c r="AF1481">
        <v>3.15</v>
      </c>
      <c r="AG1481" t="str">
        <f>HYPERLINK("https://finance.naver.com/item/fchart.naver?code=017800", "현대엘리베이 차트보기")</f>
        <v>현대엘리베이 차트보기</v>
      </c>
    </row>
    <row r="1482" spans="1:33" x14ac:dyDescent="0.3">
      <c r="A1482" t="s">
        <v>5955</v>
      </c>
      <c r="B1482" t="s">
        <v>55</v>
      </c>
      <c r="C1482" t="s">
        <v>5956</v>
      </c>
      <c r="D1482">
        <v>10550.1</v>
      </c>
      <c r="E1482" t="s">
        <v>5957</v>
      </c>
      <c r="F1482">
        <v>18.88</v>
      </c>
      <c r="G1482">
        <v>0.38999998569488531</v>
      </c>
      <c r="H1482">
        <v>1049</v>
      </c>
      <c r="I1482">
        <v>0</v>
      </c>
      <c r="J1482" t="s">
        <v>5958</v>
      </c>
      <c r="K1482">
        <v>19970</v>
      </c>
      <c r="L1482">
        <v>19800</v>
      </c>
      <c r="M1482">
        <v>-0.85</v>
      </c>
      <c r="N1482">
        <v>-4.12</v>
      </c>
      <c r="O1482">
        <v>7.27</v>
      </c>
      <c r="P1482">
        <v>2.92</v>
      </c>
      <c r="Q1482">
        <v>7.78</v>
      </c>
      <c r="R1482">
        <v>-3.59</v>
      </c>
      <c r="S1482">
        <v>-8.91</v>
      </c>
      <c r="T1482">
        <v>2.73</v>
      </c>
      <c r="U1482">
        <v>1.77</v>
      </c>
      <c r="V1482">
        <v>1.2</v>
      </c>
      <c r="W1482">
        <v>4.0199999999999996</v>
      </c>
      <c r="X1482">
        <v>1.61</v>
      </c>
      <c r="Y1482">
        <v>1.33</v>
      </c>
      <c r="Z1482">
        <v>1.51</v>
      </c>
      <c r="AA1482">
        <v>4.1100000000000003</v>
      </c>
      <c r="AB1482">
        <v>2.4300000000000002</v>
      </c>
      <c r="AC1482">
        <v>1.94</v>
      </c>
      <c r="AD1482">
        <v>2.23</v>
      </c>
      <c r="AE1482">
        <v>6.7</v>
      </c>
      <c r="AF1482">
        <v>3.1533333333333342</v>
      </c>
      <c r="AG1482" t="str">
        <f>HYPERLINK("https://finance.naver.com/item/fchart.naver?code=042420", "네오위즈홀딩스 차트보기")</f>
        <v>네오위즈홀딩스 차트보기</v>
      </c>
    </row>
    <row r="1483" spans="1:33" x14ac:dyDescent="0.3">
      <c r="A1483" t="s">
        <v>5959</v>
      </c>
      <c r="B1483" t="s">
        <v>34</v>
      </c>
      <c r="C1483" t="s">
        <v>5960</v>
      </c>
      <c r="D1483">
        <v>13384898.52</v>
      </c>
      <c r="E1483" t="s">
        <v>5961</v>
      </c>
      <c r="F1483">
        <v>6.08</v>
      </c>
      <c r="G1483">
        <v>4.1100001335144043</v>
      </c>
      <c r="H1483">
        <v>506</v>
      </c>
      <c r="I1483">
        <v>0</v>
      </c>
      <c r="J1483" t="s">
        <v>5962</v>
      </c>
      <c r="K1483">
        <v>2745</v>
      </c>
      <c r="L1483">
        <v>3075</v>
      </c>
      <c r="M1483">
        <v>12.02</v>
      </c>
      <c r="N1483">
        <v>-3.15</v>
      </c>
      <c r="O1483">
        <v>22.03</v>
      </c>
      <c r="P1483">
        <v>7.91</v>
      </c>
      <c r="Q1483">
        <v>12.43</v>
      </c>
      <c r="R1483">
        <v>-5.69</v>
      </c>
      <c r="S1483">
        <v>-12.66</v>
      </c>
      <c r="T1483">
        <v>3.9</v>
      </c>
      <c r="U1483">
        <v>6.32</v>
      </c>
      <c r="V1483">
        <v>4.6399999999999997</v>
      </c>
      <c r="W1483">
        <v>2.99</v>
      </c>
      <c r="X1483">
        <v>2.91</v>
      </c>
      <c r="Y1483">
        <v>1.86</v>
      </c>
      <c r="Z1483">
        <v>0.81</v>
      </c>
      <c r="AA1483">
        <v>3.49</v>
      </c>
      <c r="AB1483">
        <v>1.7</v>
      </c>
      <c r="AC1483">
        <v>4.16</v>
      </c>
      <c r="AD1483">
        <v>1.96</v>
      </c>
      <c r="AE1483">
        <v>6.81</v>
      </c>
      <c r="AF1483">
        <v>3.1549999999999998</v>
      </c>
      <c r="AG1483" t="str">
        <f>HYPERLINK("https://finance.naver.com/item/fchart.naver?code=091810", "티웨이항공 차트보기")</f>
        <v>티웨이항공 차트보기</v>
      </c>
    </row>
    <row r="1484" spans="1:33" x14ac:dyDescent="0.3">
      <c r="A1484" t="s">
        <v>5963</v>
      </c>
      <c r="B1484" t="s">
        <v>34</v>
      </c>
      <c r="C1484" t="s">
        <v>5964</v>
      </c>
      <c r="D1484">
        <v>236108.81</v>
      </c>
      <c r="E1484" t="s">
        <v>5965</v>
      </c>
      <c r="F1484">
        <v>25.17</v>
      </c>
      <c r="G1484">
        <v>0.86000001430511475</v>
      </c>
      <c r="H1484">
        <v>1152</v>
      </c>
      <c r="I1484">
        <v>0</v>
      </c>
      <c r="J1484" t="s">
        <v>5966</v>
      </c>
      <c r="K1484">
        <v>57600</v>
      </c>
      <c r="L1484">
        <v>29000</v>
      </c>
      <c r="M1484">
        <v>-49.65</v>
      </c>
      <c r="N1484">
        <v>-14.71</v>
      </c>
      <c r="O1484">
        <v>-1.71</v>
      </c>
      <c r="P1484">
        <v>7.26</v>
      </c>
      <c r="Q1484">
        <v>-13.19</v>
      </c>
      <c r="R1484">
        <v>-17.39</v>
      </c>
      <c r="S1484">
        <v>2.2000000000000002</v>
      </c>
      <c r="T1484">
        <v>3.38</v>
      </c>
      <c r="U1484">
        <v>4.26</v>
      </c>
      <c r="V1484">
        <v>4.5999999999999996</v>
      </c>
      <c r="W1484">
        <v>4.04</v>
      </c>
      <c r="X1484">
        <v>2.08</v>
      </c>
      <c r="Y1484">
        <v>2.2400000000000002</v>
      </c>
      <c r="Z1484">
        <v>4.3499999999999996</v>
      </c>
      <c r="AA1484">
        <v>0.4</v>
      </c>
      <c r="AB1484">
        <v>1.58</v>
      </c>
      <c r="AC1484">
        <v>3.26</v>
      </c>
      <c r="AD1484">
        <v>8.36</v>
      </c>
      <c r="AE1484">
        <v>0.98</v>
      </c>
      <c r="AF1484">
        <v>3.1549999999999998</v>
      </c>
      <c r="AG1484" t="str">
        <f>HYPERLINK("https://finance.naver.com/item/fchart.naver?code=361610", "SK아이이테크놀로지 차트보기")</f>
        <v>SK아이이테크놀로지 차트보기</v>
      </c>
    </row>
    <row r="1485" spans="1:33" x14ac:dyDescent="0.3">
      <c r="A1485" t="s">
        <v>5967</v>
      </c>
      <c r="B1485" t="s">
        <v>34</v>
      </c>
      <c r="C1485" t="s">
        <v>5968</v>
      </c>
      <c r="D1485">
        <v>37145.9</v>
      </c>
      <c r="E1485" t="s">
        <v>5969</v>
      </c>
      <c r="F1485">
        <v>0</v>
      </c>
      <c r="G1485">
        <v>0.77999997138977051</v>
      </c>
      <c r="H1485">
        <v>0</v>
      </c>
      <c r="I1485">
        <v>0</v>
      </c>
      <c r="J1485" t="s">
        <v>5970</v>
      </c>
      <c r="K1485">
        <v>1656</v>
      </c>
      <c r="L1485">
        <v>1004</v>
      </c>
      <c r="M1485">
        <v>-39.369999999999997</v>
      </c>
      <c r="N1485">
        <v>-5.73</v>
      </c>
      <c r="O1485">
        <v>-14.51</v>
      </c>
      <c r="P1485">
        <v>-4.75</v>
      </c>
      <c r="Q1485">
        <v>-8.5</v>
      </c>
      <c r="R1485">
        <v>-6.6</v>
      </c>
      <c r="S1485">
        <v>3.88</v>
      </c>
      <c r="T1485">
        <v>2.09</v>
      </c>
      <c r="U1485">
        <v>2.13</v>
      </c>
      <c r="V1485">
        <v>1.93</v>
      </c>
      <c r="W1485">
        <v>3.32</v>
      </c>
      <c r="X1485">
        <v>1.75</v>
      </c>
      <c r="Y1485">
        <v>6.59</v>
      </c>
      <c r="Z1485">
        <v>2.74</v>
      </c>
      <c r="AA1485">
        <v>6.81</v>
      </c>
      <c r="AB1485">
        <v>2.46</v>
      </c>
      <c r="AC1485">
        <v>2.56</v>
      </c>
      <c r="AD1485">
        <v>3.77</v>
      </c>
      <c r="AE1485">
        <v>0.59</v>
      </c>
      <c r="AF1485">
        <v>3.1550000000000011</v>
      </c>
      <c r="AG1485" t="str">
        <f>HYPERLINK("https://finance.naver.com/item/fchart.naver?code=024890", "대원화성 차트보기")</f>
        <v>대원화성 차트보기</v>
      </c>
    </row>
    <row r="1486" spans="1:33" x14ac:dyDescent="0.3">
      <c r="A1486" t="s">
        <v>5971</v>
      </c>
      <c r="B1486" t="s">
        <v>55</v>
      </c>
      <c r="C1486" t="s">
        <v>5972</v>
      </c>
      <c r="D1486">
        <v>17847.43</v>
      </c>
      <c r="E1486" t="s">
        <v>5973</v>
      </c>
      <c r="F1486">
        <v>0</v>
      </c>
      <c r="G1486">
        <v>0</v>
      </c>
      <c r="H1486">
        <v>0</v>
      </c>
      <c r="I1486">
        <v>0</v>
      </c>
      <c r="J1486" t="s">
        <v>5974</v>
      </c>
      <c r="K1486">
        <v>2205</v>
      </c>
      <c r="L1486">
        <v>2105</v>
      </c>
      <c r="M1486">
        <v>-4.54</v>
      </c>
      <c r="N1486">
        <v>0</v>
      </c>
      <c r="O1486">
        <v>-0.47</v>
      </c>
      <c r="P1486">
        <v>-2.0699999999999998</v>
      </c>
      <c r="Q1486">
        <v>-8.6199999999999992</v>
      </c>
      <c r="R1486">
        <v>6.92</v>
      </c>
      <c r="S1486">
        <v>2.98</v>
      </c>
      <c r="T1486">
        <v>0.57999999999999996</v>
      </c>
      <c r="U1486">
        <v>0.42</v>
      </c>
      <c r="V1486">
        <v>0.79</v>
      </c>
      <c r="W1486">
        <v>1.53</v>
      </c>
      <c r="X1486">
        <v>1.25</v>
      </c>
      <c r="Y1486">
        <v>0.74</v>
      </c>
      <c r="Z1486">
        <v>0</v>
      </c>
      <c r="AA1486">
        <v>1.1200000000000001</v>
      </c>
      <c r="AB1486">
        <v>2.62</v>
      </c>
      <c r="AC1486">
        <v>5.63</v>
      </c>
      <c r="AD1486">
        <v>5.54</v>
      </c>
      <c r="AE1486">
        <v>4.03</v>
      </c>
      <c r="AF1486">
        <v>3.1566666666666672</v>
      </c>
      <c r="AG1486" t="str">
        <f>HYPERLINK("https://finance.naver.com/item/fchart.naver?code=425290", "삼성스팩6호 차트보기")</f>
        <v>삼성스팩6호 차트보기</v>
      </c>
    </row>
    <row r="1487" spans="1:33" x14ac:dyDescent="0.3">
      <c r="A1487" t="s">
        <v>5975</v>
      </c>
      <c r="B1487" t="s">
        <v>34</v>
      </c>
      <c r="C1487" t="s">
        <v>5976</v>
      </c>
      <c r="D1487">
        <v>2313.0500000000002</v>
      </c>
      <c r="E1487" t="s">
        <v>5977</v>
      </c>
      <c r="F1487">
        <v>0</v>
      </c>
      <c r="G1487">
        <v>0</v>
      </c>
      <c r="H1487">
        <v>0</v>
      </c>
      <c r="I1487">
        <v>3.380000114440918</v>
      </c>
      <c r="J1487" t="s">
        <v>5978</v>
      </c>
      <c r="K1487">
        <v>23550</v>
      </c>
      <c r="L1487">
        <v>23700</v>
      </c>
      <c r="M1487">
        <v>0.64</v>
      </c>
      <c r="N1487">
        <v>0.42</v>
      </c>
      <c r="O1487">
        <v>2.61</v>
      </c>
      <c r="P1487">
        <v>1.31</v>
      </c>
      <c r="Q1487">
        <v>0</v>
      </c>
      <c r="R1487">
        <v>-3.54</v>
      </c>
      <c r="S1487">
        <v>4.13</v>
      </c>
      <c r="T1487">
        <v>0.56999999999999995</v>
      </c>
      <c r="U1487">
        <v>0.44</v>
      </c>
      <c r="V1487">
        <v>0.76</v>
      </c>
      <c r="W1487">
        <v>1.47</v>
      </c>
      <c r="X1487">
        <v>0.61</v>
      </c>
      <c r="Y1487">
        <v>0.87</v>
      </c>
      <c r="Z1487">
        <v>0.74</v>
      </c>
      <c r="AA1487">
        <v>5.93</v>
      </c>
      <c r="AB1487">
        <v>1.72</v>
      </c>
      <c r="AC1487">
        <v>0</v>
      </c>
      <c r="AD1487">
        <v>5.8</v>
      </c>
      <c r="AE1487">
        <v>4.75</v>
      </c>
      <c r="AF1487">
        <v>3.1566666666666672</v>
      </c>
      <c r="AG1487" t="str">
        <f>HYPERLINK("https://finance.naver.com/item/fchart.naver?code=003495", "대한항공우 차트보기")</f>
        <v>대한항공우 차트보기</v>
      </c>
    </row>
    <row r="1488" spans="1:33" x14ac:dyDescent="0.3">
      <c r="A1488" t="s">
        <v>5979</v>
      </c>
      <c r="B1488" t="s">
        <v>55</v>
      </c>
      <c r="C1488" t="s">
        <v>5980</v>
      </c>
      <c r="D1488">
        <v>4461</v>
      </c>
      <c r="E1488" t="s">
        <v>5981</v>
      </c>
      <c r="F1488">
        <v>8.75</v>
      </c>
      <c r="G1488">
        <v>0.74000000953674316</v>
      </c>
      <c r="H1488">
        <v>616</v>
      </c>
      <c r="I1488">
        <v>1.860000014305115</v>
      </c>
      <c r="J1488" t="s">
        <v>5982</v>
      </c>
      <c r="K1488">
        <v>7630</v>
      </c>
      <c r="L1488">
        <v>5390</v>
      </c>
      <c r="M1488">
        <v>-29.36</v>
      </c>
      <c r="N1488">
        <v>-4.43</v>
      </c>
      <c r="O1488">
        <v>-0.35</v>
      </c>
      <c r="P1488">
        <v>-7.67</v>
      </c>
      <c r="Q1488">
        <v>-11.49</v>
      </c>
      <c r="R1488">
        <v>-4.7</v>
      </c>
      <c r="S1488">
        <v>-1.91</v>
      </c>
      <c r="T1488">
        <v>1.04</v>
      </c>
      <c r="U1488">
        <v>0.83</v>
      </c>
      <c r="V1488">
        <v>2.08</v>
      </c>
      <c r="W1488">
        <v>3.03</v>
      </c>
      <c r="X1488">
        <v>0.91</v>
      </c>
      <c r="Y1488">
        <v>1.18</v>
      </c>
      <c r="Z1488">
        <v>4.26</v>
      </c>
      <c r="AA1488">
        <v>0.42</v>
      </c>
      <c r="AB1488">
        <v>3.69</v>
      </c>
      <c r="AC1488">
        <v>3.79</v>
      </c>
      <c r="AD1488">
        <v>5.16</v>
      </c>
      <c r="AE1488">
        <v>1.62</v>
      </c>
      <c r="AF1488">
        <v>3.1566666666666672</v>
      </c>
      <c r="AG1488" t="str">
        <f>HYPERLINK("https://finance.naver.com/item/fchart.naver?code=290740", "액트로 차트보기")</f>
        <v>액트로 차트보기</v>
      </c>
    </row>
    <row r="1489" spans="1:33" x14ac:dyDescent="0.3">
      <c r="A1489" t="s">
        <v>5983</v>
      </c>
      <c r="B1489" t="s">
        <v>34</v>
      </c>
      <c r="C1489" t="s">
        <v>5984</v>
      </c>
      <c r="D1489">
        <v>32083.38</v>
      </c>
      <c r="E1489" t="s">
        <v>5985</v>
      </c>
      <c r="F1489">
        <v>5.03</v>
      </c>
      <c r="G1489">
        <v>0.27000001072883612</v>
      </c>
      <c r="H1489">
        <v>2899</v>
      </c>
      <c r="I1489">
        <v>4.8000001907348633</v>
      </c>
      <c r="J1489" t="s">
        <v>5986</v>
      </c>
      <c r="K1489">
        <v>16400</v>
      </c>
      <c r="L1489">
        <v>14570</v>
      </c>
      <c r="M1489">
        <v>-11.16</v>
      </c>
      <c r="N1489">
        <v>-2.08</v>
      </c>
      <c r="O1489">
        <v>0.54</v>
      </c>
      <c r="P1489">
        <v>2.34</v>
      </c>
      <c r="Q1489">
        <v>-0.9</v>
      </c>
      <c r="R1489">
        <v>5.52</v>
      </c>
      <c r="S1489">
        <v>-8.6999999999999993</v>
      </c>
      <c r="T1489">
        <v>0.76</v>
      </c>
      <c r="U1489">
        <v>0.8</v>
      </c>
      <c r="V1489">
        <v>1.7</v>
      </c>
      <c r="W1489">
        <v>2.2000000000000002</v>
      </c>
      <c r="X1489">
        <v>0.79</v>
      </c>
      <c r="Y1489">
        <v>1.29</v>
      </c>
      <c r="Z1489">
        <v>2.74</v>
      </c>
      <c r="AA1489">
        <v>0.68</v>
      </c>
      <c r="AB1489">
        <v>1.38</v>
      </c>
      <c r="AC1489">
        <v>0.41</v>
      </c>
      <c r="AD1489">
        <v>6.99</v>
      </c>
      <c r="AE1489">
        <v>6.74</v>
      </c>
      <c r="AF1489">
        <v>3.1566666666666672</v>
      </c>
      <c r="AG1489" t="str">
        <f>HYPERLINK("https://finance.naver.com/item/fchart.naver?code=093050", "LF 차트보기")</f>
        <v>LF 차트보기</v>
      </c>
    </row>
    <row r="1490" spans="1:33" x14ac:dyDescent="0.3">
      <c r="A1490" t="s">
        <v>5987</v>
      </c>
      <c r="B1490" t="s">
        <v>55</v>
      </c>
      <c r="C1490" t="s">
        <v>5988</v>
      </c>
      <c r="D1490">
        <v>494284.14</v>
      </c>
      <c r="E1490" t="s">
        <v>5989</v>
      </c>
      <c r="F1490">
        <v>0</v>
      </c>
      <c r="G1490">
        <v>1.940000057220459</v>
      </c>
      <c r="H1490">
        <v>0</v>
      </c>
      <c r="I1490">
        <v>0</v>
      </c>
      <c r="J1490" t="s">
        <v>5990</v>
      </c>
      <c r="K1490">
        <v>6630</v>
      </c>
      <c r="L1490">
        <v>4280</v>
      </c>
      <c r="M1490">
        <v>-35.44</v>
      </c>
      <c r="N1490">
        <v>-4.8899999999999997</v>
      </c>
      <c r="O1490">
        <v>7.91</v>
      </c>
      <c r="P1490">
        <v>-3.54</v>
      </c>
      <c r="Q1490">
        <v>-15.88</v>
      </c>
      <c r="R1490">
        <v>-15.74</v>
      </c>
      <c r="S1490">
        <v>-1.56</v>
      </c>
      <c r="T1490">
        <v>2.2599999999999998</v>
      </c>
      <c r="U1490">
        <v>4.37</v>
      </c>
      <c r="V1490">
        <v>2.67</v>
      </c>
      <c r="W1490">
        <v>4.96</v>
      </c>
      <c r="X1490">
        <v>1.71</v>
      </c>
      <c r="Y1490">
        <v>1.25</v>
      </c>
      <c r="Z1490">
        <v>2.16</v>
      </c>
      <c r="AA1490">
        <v>1.81</v>
      </c>
      <c r="AB1490">
        <v>1.33</v>
      </c>
      <c r="AC1490">
        <v>3.2</v>
      </c>
      <c r="AD1490">
        <v>9.1999999999999993</v>
      </c>
      <c r="AE1490">
        <v>1.25</v>
      </c>
      <c r="AF1490">
        <v>3.1583333333333332</v>
      </c>
      <c r="AG1490" t="str">
        <f>HYPERLINK("https://finance.naver.com/item/fchart.naver?code=300120", "라온피플 차트보기")</f>
        <v>라온피플 차트보기</v>
      </c>
    </row>
    <row r="1491" spans="1:33" x14ac:dyDescent="0.3">
      <c r="A1491" t="s">
        <v>5991</v>
      </c>
      <c r="B1491" t="s">
        <v>55</v>
      </c>
      <c r="C1491" t="s">
        <v>5992</v>
      </c>
      <c r="D1491">
        <v>46011.33</v>
      </c>
      <c r="E1491" t="s">
        <v>5993</v>
      </c>
      <c r="F1491">
        <v>0</v>
      </c>
      <c r="G1491">
        <v>0.72000002861022949</v>
      </c>
      <c r="H1491">
        <v>0</v>
      </c>
      <c r="I1491">
        <v>0</v>
      </c>
      <c r="J1491" t="s">
        <v>5994</v>
      </c>
      <c r="K1491">
        <v>938</v>
      </c>
      <c r="L1491">
        <v>775</v>
      </c>
      <c r="M1491">
        <v>-17.38</v>
      </c>
      <c r="N1491">
        <v>-2.27</v>
      </c>
      <c r="O1491">
        <v>-6.98</v>
      </c>
      <c r="P1491">
        <v>3.55</v>
      </c>
      <c r="Q1491">
        <v>-7.02</v>
      </c>
      <c r="R1491">
        <v>-4.4800000000000004</v>
      </c>
      <c r="S1491">
        <v>-4.04</v>
      </c>
      <c r="T1491">
        <v>0.56999999999999995</v>
      </c>
      <c r="U1491">
        <v>1.92</v>
      </c>
      <c r="V1491">
        <v>1.36</v>
      </c>
      <c r="W1491">
        <v>1.85</v>
      </c>
      <c r="X1491">
        <v>2.71</v>
      </c>
      <c r="Y1491">
        <v>1.23</v>
      </c>
      <c r="Z1491">
        <v>3.98</v>
      </c>
      <c r="AA1491">
        <v>3.64</v>
      </c>
      <c r="AB1491">
        <v>2.61</v>
      </c>
      <c r="AC1491">
        <v>3.79</v>
      </c>
      <c r="AD1491">
        <v>1.65</v>
      </c>
      <c r="AE1491">
        <v>3.28</v>
      </c>
      <c r="AF1491">
        <v>3.1583333333333332</v>
      </c>
      <c r="AG1491" t="str">
        <f>HYPERLINK("https://finance.naver.com/item/fchart.naver?code=138360", "협진 차트보기")</f>
        <v>협진 차트보기</v>
      </c>
    </row>
    <row r="1492" spans="1:33" x14ac:dyDescent="0.3">
      <c r="A1492" t="s">
        <v>5995</v>
      </c>
      <c r="B1492" t="s">
        <v>34</v>
      </c>
      <c r="C1492" t="s">
        <v>5996</v>
      </c>
      <c r="D1492">
        <v>67976.14</v>
      </c>
      <c r="E1492" t="s">
        <v>5997</v>
      </c>
      <c r="F1492">
        <v>16.66</v>
      </c>
      <c r="G1492">
        <v>0.5899999737739563</v>
      </c>
      <c r="H1492">
        <v>5806</v>
      </c>
      <c r="I1492">
        <v>3.0999999046325679</v>
      </c>
      <c r="J1492" t="s">
        <v>5998</v>
      </c>
      <c r="K1492">
        <v>152700</v>
      </c>
      <c r="L1492">
        <v>96700</v>
      </c>
      <c r="M1492">
        <v>-36.67</v>
      </c>
      <c r="N1492">
        <v>-4.7300000000000004</v>
      </c>
      <c r="O1492">
        <v>-10.53</v>
      </c>
      <c r="P1492">
        <v>6.26</v>
      </c>
      <c r="Q1492">
        <v>-17.05</v>
      </c>
      <c r="R1492">
        <v>10.34</v>
      </c>
      <c r="S1492">
        <v>-9.26</v>
      </c>
      <c r="T1492">
        <v>3.91</v>
      </c>
      <c r="U1492">
        <v>2</v>
      </c>
      <c r="V1492">
        <v>2.2400000000000002</v>
      </c>
      <c r="W1492">
        <v>4.6500000000000004</v>
      </c>
      <c r="X1492">
        <v>3.64</v>
      </c>
      <c r="Y1492">
        <v>2.91</v>
      </c>
      <c r="Z1492">
        <v>1.21</v>
      </c>
      <c r="AA1492">
        <v>5.26</v>
      </c>
      <c r="AB1492">
        <v>2.79</v>
      </c>
      <c r="AC1492">
        <v>3.67</v>
      </c>
      <c r="AD1492">
        <v>2.84</v>
      </c>
      <c r="AE1492">
        <v>3.18</v>
      </c>
      <c r="AF1492">
        <v>3.1583333333333332</v>
      </c>
      <c r="AG1492" t="str">
        <f>HYPERLINK("https://finance.naver.com/item/fchart.naver?code=001040", "CJ 차트보기")</f>
        <v>CJ 차트보기</v>
      </c>
    </row>
    <row r="1493" spans="1:33" x14ac:dyDescent="0.3">
      <c r="A1493" t="s">
        <v>5999</v>
      </c>
      <c r="B1493" t="s">
        <v>55</v>
      </c>
      <c r="C1493" t="s">
        <v>6000</v>
      </c>
      <c r="D1493">
        <v>397773.52</v>
      </c>
      <c r="E1493" t="s">
        <v>6001</v>
      </c>
      <c r="F1493">
        <v>9.89</v>
      </c>
      <c r="G1493">
        <v>1.559999942779541</v>
      </c>
      <c r="H1493">
        <v>2476</v>
      </c>
      <c r="I1493">
        <v>0.49000000953674322</v>
      </c>
      <c r="J1493" t="s">
        <v>6002</v>
      </c>
      <c r="K1493">
        <v>44350</v>
      </c>
      <c r="L1493">
        <v>24500</v>
      </c>
      <c r="M1493">
        <v>-44.76</v>
      </c>
      <c r="N1493">
        <v>-8.07</v>
      </c>
      <c r="O1493">
        <v>-9.5299999999999994</v>
      </c>
      <c r="P1493">
        <v>-5.69</v>
      </c>
      <c r="Q1493">
        <v>-13.18</v>
      </c>
      <c r="R1493">
        <v>-10.07</v>
      </c>
      <c r="S1493">
        <v>-6.1</v>
      </c>
      <c r="T1493">
        <v>5.01</v>
      </c>
      <c r="U1493">
        <v>2.4</v>
      </c>
      <c r="V1493">
        <v>2.87</v>
      </c>
      <c r="W1493">
        <v>3.91</v>
      </c>
      <c r="X1493">
        <v>2.08</v>
      </c>
      <c r="Y1493">
        <v>1.92</v>
      </c>
      <c r="Z1493">
        <v>1.61</v>
      </c>
      <c r="AA1493">
        <v>3.97</v>
      </c>
      <c r="AB1493">
        <v>1.98</v>
      </c>
      <c r="AC1493">
        <v>3.37</v>
      </c>
      <c r="AD1493">
        <v>4.84</v>
      </c>
      <c r="AE1493">
        <v>3.18</v>
      </c>
      <c r="AF1493">
        <v>3.1583333333333332</v>
      </c>
      <c r="AG1493" t="str">
        <f>HYPERLINK("https://finance.naver.com/item/fchart.naver?code=005290", "동진쎄미켐 차트보기")</f>
        <v>동진쎄미켐 차트보기</v>
      </c>
    </row>
    <row r="1494" spans="1:33" x14ac:dyDescent="0.3">
      <c r="A1494" t="s">
        <v>6003</v>
      </c>
      <c r="B1494" t="s">
        <v>55</v>
      </c>
      <c r="C1494" t="s">
        <v>6004</v>
      </c>
      <c r="D1494">
        <v>82852.81</v>
      </c>
      <c r="E1494" t="s">
        <v>6005</v>
      </c>
      <c r="F1494">
        <v>0</v>
      </c>
      <c r="G1494">
        <v>0.30000001192092901</v>
      </c>
      <c r="H1494">
        <v>0</v>
      </c>
      <c r="I1494">
        <v>0</v>
      </c>
      <c r="J1494" t="s">
        <v>6006</v>
      </c>
      <c r="K1494">
        <v>1370</v>
      </c>
      <c r="L1494">
        <v>866</v>
      </c>
      <c r="M1494">
        <v>-36.79</v>
      </c>
      <c r="N1494">
        <v>0.23</v>
      </c>
      <c r="O1494">
        <v>-16.23</v>
      </c>
      <c r="P1494">
        <v>-3.84</v>
      </c>
      <c r="Q1494">
        <v>-18.989999999999998</v>
      </c>
      <c r="R1494">
        <v>2.1800000000000002</v>
      </c>
      <c r="S1494">
        <v>-4.5199999999999996</v>
      </c>
      <c r="T1494">
        <v>2.76</v>
      </c>
      <c r="U1494">
        <v>1.76</v>
      </c>
      <c r="V1494">
        <v>2.2000000000000002</v>
      </c>
      <c r="W1494">
        <v>3.95</v>
      </c>
      <c r="X1494">
        <v>3.9</v>
      </c>
      <c r="Y1494">
        <v>1.79</v>
      </c>
      <c r="Z1494">
        <v>0.08</v>
      </c>
      <c r="AA1494">
        <v>9.2200000000000006</v>
      </c>
      <c r="AB1494">
        <v>1.75</v>
      </c>
      <c r="AC1494">
        <v>4.8099999999999996</v>
      </c>
      <c r="AD1494">
        <v>0.56000000000000005</v>
      </c>
      <c r="AE1494">
        <v>2.5299999999999998</v>
      </c>
      <c r="AF1494">
        <v>3.1583333333333332</v>
      </c>
      <c r="AG1494" t="str">
        <f>HYPERLINK("https://finance.naver.com/item/fchart.naver?code=054090", "삼진엘앤디 차트보기")</f>
        <v>삼진엘앤디 차트보기</v>
      </c>
    </row>
    <row r="1495" spans="1:33" x14ac:dyDescent="0.3">
      <c r="A1495" t="s">
        <v>6007</v>
      </c>
      <c r="B1495" t="s">
        <v>34</v>
      </c>
      <c r="C1495" t="s">
        <v>6008</v>
      </c>
      <c r="D1495">
        <v>34260.57</v>
      </c>
      <c r="E1495" t="s">
        <v>6009</v>
      </c>
      <c r="F1495">
        <v>8.77</v>
      </c>
      <c r="G1495">
        <v>0.51999998092651367</v>
      </c>
      <c r="H1495">
        <v>2953</v>
      </c>
      <c r="I1495">
        <v>6.559999942779541</v>
      </c>
      <c r="J1495" t="s">
        <v>6010</v>
      </c>
      <c r="K1495">
        <v>26000</v>
      </c>
      <c r="L1495">
        <v>25900</v>
      </c>
      <c r="M1495">
        <v>-0.38</v>
      </c>
      <c r="N1495">
        <v>-2.2599999999999998</v>
      </c>
      <c r="O1495">
        <v>-5.67</v>
      </c>
      <c r="P1495">
        <v>-0.18</v>
      </c>
      <c r="Q1495">
        <v>2.36</v>
      </c>
      <c r="R1495">
        <v>8.84</v>
      </c>
      <c r="S1495">
        <v>-6.51</v>
      </c>
      <c r="T1495">
        <v>0.41</v>
      </c>
      <c r="U1495">
        <v>2.0099999999999998</v>
      </c>
      <c r="V1495">
        <v>1.43</v>
      </c>
      <c r="W1495">
        <v>2.69</v>
      </c>
      <c r="X1495">
        <v>1.65</v>
      </c>
      <c r="Y1495">
        <v>1.53</v>
      </c>
      <c r="Z1495">
        <v>5.51</v>
      </c>
      <c r="AA1495">
        <v>2.82</v>
      </c>
      <c r="AB1495">
        <v>0.13</v>
      </c>
      <c r="AC1495">
        <v>0.88</v>
      </c>
      <c r="AD1495">
        <v>5.36</v>
      </c>
      <c r="AE1495">
        <v>4.25</v>
      </c>
      <c r="AF1495">
        <v>3.1583333333333341</v>
      </c>
      <c r="AG1495" t="str">
        <f>HYPERLINK("https://finance.naver.com/item/fchart.naver?code=005090", "SGC에너지 차트보기")</f>
        <v>SGC에너지 차트보기</v>
      </c>
    </row>
    <row r="1496" spans="1:33" x14ac:dyDescent="0.3">
      <c r="A1496" t="s">
        <v>6011</v>
      </c>
      <c r="B1496" t="s">
        <v>34</v>
      </c>
      <c r="C1496" t="s">
        <v>6012</v>
      </c>
      <c r="D1496">
        <v>75815.67</v>
      </c>
      <c r="E1496" t="s">
        <v>6013</v>
      </c>
      <c r="J1496" t="s">
        <v>6014</v>
      </c>
      <c r="K1496">
        <v>5064</v>
      </c>
      <c r="L1496">
        <v>4355</v>
      </c>
      <c r="M1496">
        <v>-14</v>
      </c>
      <c r="N1496">
        <v>-5.84</v>
      </c>
      <c r="O1496">
        <v>-3.01</v>
      </c>
      <c r="P1496">
        <v>2.35</v>
      </c>
      <c r="Q1496">
        <v>-2.66</v>
      </c>
      <c r="R1496">
        <v>1</v>
      </c>
      <c r="S1496">
        <v>-0.59</v>
      </c>
      <c r="T1496">
        <v>1.22</v>
      </c>
      <c r="U1496">
        <v>0.98</v>
      </c>
      <c r="V1496">
        <v>0.6</v>
      </c>
      <c r="W1496">
        <v>0.91</v>
      </c>
      <c r="X1496">
        <v>0.35</v>
      </c>
      <c r="Y1496">
        <v>0.42</v>
      </c>
      <c r="Z1496">
        <v>4.79</v>
      </c>
      <c r="AA1496">
        <v>3.07</v>
      </c>
      <c r="AB1496">
        <v>3.92</v>
      </c>
      <c r="AC1496">
        <v>2.92</v>
      </c>
      <c r="AD1496">
        <v>2.86</v>
      </c>
      <c r="AE1496">
        <v>1.4</v>
      </c>
      <c r="AF1496">
        <v>3.16</v>
      </c>
      <c r="AG1496" t="str">
        <f>HYPERLINK("https://finance.naver.com/item/fchart.naver?code=448730", "삼성FN리츠 차트보기")</f>
        <v>삼성FN리츠 차트보기</v>
      </c>
    </row>
    <row r="1497" spans="1:33" x14ac:dyDescent="0.3">
      <c r="A1497" t="s">
        <v>6015</v>
      </c>
      <c r="B1497" t="s">
        <v>34</v>
      </c>
      <c r="C1497" t="s">
        <v>6016</v>
      </c>
      <c r="D1497">
        <v>105747.86</v>
      </c>
      <c r="E1497" t="s">
        <v>6017</v>
      </c>
      <c r="F1497">
        <v>14.9</v>
      </c>
      <c r="G1497">
        <v>0.75</v>
      </c>
      <c r="H1497">
        <v>111</v>
      </c>
      <c r="I1497">
        <v>1.809999942779541</v>
      </c>
      <c r="J1497" t="s">
        <v>6018</v>
      </c>
      <c r="K1497">
        <v>1955</v>
      </c>
      <c r="L1497">
        <v>1654</v>
      </c>
      <c r="M1497">
        <v>-15.4</v>
      </c>
      <c r="N1497">
        <v>4.03</v>
      </c>
      <c r="O1497">
        <v>-0.38</v>
      </c>
      <c r="P1497">
        <v>-1.43</v>
      </c>
      <c r="Q1497">
        <v>-1.83</v>
      </c>
      <c r="R1497">
        <v>-6.21</v>
      </c>
      <c r="S1497">
        <v>-11.06</v>
      </c>
      <c r="T1497">
        <v>1.92</v>
      </c>
      <c r="U1497">
        <v>0.64</v>
      </c>
      <c r="V1497">
        <v>1.05</v>
      </c>
      <c r="W1497">
        <v>3.92</v>
      </c>
      <c r="X1497">
        <v>1.1100000000000001</v>
      </c>
      <c r="Y1497">
        <v>1.25</v>
      </c>
      <c r="Z1497">
        <v>2.1</v>
      </c>
      <c r="AA1497">
        <v>0.59</v>
      </c>
      <c r="AB1497">
        <v>1.36</v>
      </c>
      <c r="AC1497">
        <v>0.47</v>
      </c>
      <c r="AD1497">
        <v>5.59</v>
      </c>
      <c r="AE1497">
        <v>8.85</v>
      </c>
      <c r="AF1497">
        <v>3.16</v>
      </c>
      <c r="AG1497" t="str">
        <f>HYPERLINK("https://finance.naver.com/item/fchart.naver?code=004770", "써니전자 차트보기")</f>
        <v>써니전자 차트보기</v>
      </c>
    </row>
    <row r="1498" spans="1:33" x14ac:dyDescent="0.3">
      <c r="A1498" t="s">
        <v>6019</v>
      </c>
      <c r="B1498" t="s">
        <v>55</v>
      </c>
      <c r="C1498" t="s">
        <v>6020</v>
      </c>
      <c r="D1498">
        <v>331383.95</v>
      </c>
      <c r="E1498" t="s">
        <v>6021</v>
      </c>
      <c r="F1498">
        <v>0</v>
      </c>
      <c r="G1498">
        <v>1.0199999809265139</v>
      </c>
      <c r="H1498">
        <v>0</v>
      </c>
      <c r="I1498">
        <v>0</v>
      </c>
      <c r="J1498" t="s">
        <v>6022</v>
      </c>
      <c r="K1498">
        <v>910</v>
      </c>
      <c r="L1498">
        <v>680</v>
      </c>
      <c r="M1498">
        <v>-25.27</v>
      </c>
      <c r="N1498">
        <v>-3.82</v>
      </c>
      <c r="O1498">
        <v>-4.6900000000000004</v>
      </c>
      <c r="P1498">
        <v>-6.08</v>
      </c>
      <c r="Q1498">
        <v>7.66</v>
      </c>
      <c r="R1498">
        <v>-11.95</v>
      </c>
      <c r="S1498">
        <v>-1.18</v>
      </c>
      <c r="T1498">
        <v>1.53</v>
      </c>
      <c r="U1498">
        <v>1.96</v>
      </c>
      <c r="V1498">
        <v>1.93</v>
      </c>
      <c r="W1498">
        <v>3.41</v>
      </c>
      <c r="X1498">
        <v>1.48</v>
      </c>
      <c r="Y1498">
        <v>1.97</v>
      </c>
      <c r="Z1498">
        <v>2.5</v>
      </c>
      <c r="AA1498">
        <v>2.39</v>
      </c>
      <c r="AB1498">
        <v>3.15</v>
      </c>
      <c r="AC1498">
        <v>2.25</v>
      </c>
      <c r="AD1498">
        <v>8.07</v>
      </c>
      <c r="AE1498">
        <v>0.6</v>
      </c>
      <c r="AF1498">
        <v>3.16</v>
      </c>
      <c r="AG1498" t="str">
        <f>HYPERLINK("https://finance.naver.com/item/fchart.naver?code=143540", "영우디에스피 차트보기")</f>
        <v>영우디에스피 차트보기</v>
      </c>
    </row>
    <row r="1499" spans="1:33" x14ac:dyDescent="0.3">
      <c r="A1499" t="s">
        <v>6023</v>
      </c>
      <c r="B1499" t="s">
        <v>55</v>
      </c>
      <c r="C1499" t="s">
        <v>6024</v>
      </c>
      <c r="D1499">
        <v>340716.81</v>
      </c>
      <c r="E1499" t="s">
        <v>6025</v>
      </c>
      <c r="F1499">
        <v>0</v>
      </c>
      <c r="G1499">
        <v>0.34000000357627869</v>
      </c>
      <c r="H1499">
        <v>0</v>
      </c>
      <c r="I1499">
        <v>2.1700000762939449</v>
      </c>
      <c r="J1499" t="s">
        <v>6026</v>
      </c>
      <c r="K1499">
        <v>5400</v>
      </c>
      <c r="L1499">
        <v>4845</v>
      </c>
      <c r="M1499">
        <v>-10.28</v>
      </c>
      <c r="N1499">
        <v>-5</v>
      </c>
      <c r="O1499">
        <v>7.09</v>
      </c>
      <c r="P1499">
        <v>-3.85</v>
      </c>
      <c r="Q1499">
        <v>-20.61</v>
      </c>
      <c r="R1499">
        <v>-0.9</v>
      </c>
      <c r="S1499">
        <v>25.74</v>
      </c>
      <c r="T1499">
        <v>2.02</v>
      </c>
      <c r="U1499">
        <v>1.33</v>
      </c>
      <c r="V1499">
        <v>2.19</v>
      </c>
      <c r="W1499">
        <v>3.77</v>
      </c>
      <c r="X1499">
        <v>2.68</v>
      </c>
      <c r="Y1499">
        <v>7.18</v>
      </c>
      <c r="Z1499">
        <v>2.48</v>
      </c>
      <c r="AA1499">
        <v>5.33</v>
      </c>
      <c r="AB1499">
        <v>1.76</v>
      </c>
      <c r="AC1499">
        <v>5.47</v>
      </c>
      <c r="AD1499">
        <v>0.34</v>
      </c>
      <c r="AE1499">
        <v>3.58</v>
      </c>
      <c r="AF1499">
        <v>3.16</v>
      </c>
      <c r="AG1499" t="str">
        <f>HYPERLINK("https://finance.naver.com/item/fchart.naver?code=043650", "국순당 차트보기")</f>
        <v>국순당 차트보기</v>
      </c>
    </row>
    <row r="1500" spans="1:33" x14ac:dyDescent="0.3">
      <c r="A1500" t="s">
        <v>6027</v>
      </c>
      <c r="B1500" t="s">
        <v>55</v>
      </c>
      <c r="C1500" t="s">
        <v>6028</v>
      </c>
      <c r="D1500">
        <v>11993.24</v>
      </c>
      <c r="E1500" t="s">
        <v>6029</v>
      </c>
      <c r="F1500">
        <v>12.08</v>
      </c>
      <c r="G1500">
        <v>0.28999999165534968</v>
      </c>
      <c r="H1500">
        <v>279</v>
      </c>
      <c r="I1500">
        <v>2.970000028610229</v>
      </c>
      <c r="J1500" t="s">
        <v>6030</v>
      </c>
      <c r="K1500">
        <v>4365</v>
      </c>
      <c r="L1500">
        <v>3370</v>
      </c>
      <c r="M1500">
        <v>-22.79</v>
      </c>
      <c r="N1500">
        <v>-2.0299999999999998</v>
      </c>
      <c r="O1500">
        <v>-4.3099999999999996</v>
      </c>
      <c r="P1500">
        <v>-4.96</v>
      </c>
      <c r="Q1500">
        <v>-6.15</v>
      </c>
      <c r="R1500">
        <v>-1.93</v>
      </c>
      <c r="S1500">
        <v>-6.52</v>
      </c>
      <c r="T1500">
        <v>1.05</v>
      </c>
      <c r="U1500">
        <v>1.1100000000000001</v>
      </c>
      <c r="V1500">
        <v>1.78</v>
      </c>
      <c r="W1500">
        <v>3.16</v>
      </c>
      <c r="X1500">
        <v>1.0900000000000001</v>
      </c>
      <c r="Y1500">
        <v>0.98</v>
      </c>
      <c r="Z1500">
        <v>1.93</v>
      </c>
      <c r="AA1500">
        <v>3.88</v>
      </c>
      <c r="AB1500">
        <v>2.79</v>
      </c>
      <c r="AC1500">
        <v>1.95</v>
      </c>
      <c r="AD1500">
        <v>1.77</v>
      </c>
      <c r="AE1500">
        <v>6.65</v>
      </c>
      <c r="AF1500">
        <v>3.1616666666666671</v>
      </c>
      <c r="AG1500" t="str">
        <f>HYPERLINK("https://finance.naver.com/item/fchart.naver?code=080520", "오디텍 차트보기")</f>
        <v>오디텍 차트보기</v>
      </c>
    </row>
    <row r="1501" spans="1:33" x14ac:dyDescent="0.3">
      <c r="A1501" t="s">
        <v>6031</v>
      </c>
      <c r="B1501" t="s">
        <v>55</v>
      </c>
      <c r="C1501" t="s">
        <v>6032</v>
      </c>
      <c r="D1501">
        <v>27751.14</v>
      </c>
      <c r="E1501" t="s">
        <v>6033</v>
      </c>
      <c r="F1501">
        <v>2.86</v>
      </c>
      <c r="G1501">
        <v>0.2800000011920929</v>
      </c>
      <c r="H1501">
        <v>1436</v>
      </c>
      <c r="I1501">
        <v>1.220000028610229</v>
      </c>
      <c r="J1501" t="s">
        <v>6034</v>
      </c>
      <c r="K1501">
        <v>5110</v>
      </c>
      <c r="L1501">
        <v>4110</v>
      </c>
      <c r="M1501">
        <v>-19.57</v>
      </c>
      <c r="N1501">
        <v>-3.18</v>
      </c>
      <c r="O1501">
        <v>-3.93</v>
      </c>
      <c r="P1501">
        <v>-4.72</v>
      </c>
      <c r="Q1501">
        <v>0.73</v>
      </c>
      <c r="R1501">
        <v>-9.75</v>
      </c>
      <c r="S1501">
        <v>-3.33</v>
      </c>
      <c r="T1501">
        <v>2.14</v>
      </c>
      <c r="U1501">
        <v>0.94</v>
      </c>
      <c r="V1501">
        <v>1.98</v>
      </c>
      <c r="W1501">
        <v>4.42</v>
      </c>
      <c r="X1501">
        <v>1.08</v>
      </c>
      <c r="Y1501">
        <v>1.93</v>
      </c>
      <c r="Z1501">
        <v>1.49</v>
      </c>
      <c r="AA1501">
        <v>4.18</v>
      </c>
      <c r="AB1501">
        <v>2.38</v>
      </c>
      <c r="AC1501">
        <v>0.17</v>
      </c>
      <c r="AD1501">
        <v>9.0299999999999994</v>
      </c>
      <c r="AE1501">
        <v>1.73</v>
      </c>
      <c r="AF1501">
        <v>3.163333333333334</v>
      </c>
      <c r="AG1501" t="str">
        <f>HYPERLINK("https://finance.naver.com/item/fchart.naver?code=053700", "삼보모터스 차트보기")</f>
        <v>삼보모터스 차트보기</v>
      </c>
    </row>
    <row r="1502" spans="1:33" x14ac:dyDescent="0.3">
      <c r="A1502" t="s">
        <v>6035</v>
      </c>
      <c r="B1502" t="s">
        <v>34</v>
      </c>
      <c r="C1502" t="s">
        <v>6036</v>
      </c>
      <c r="D1502">
        <v>140411.57</v>
      </c>
      <c r="E1502" t="s">
        <v>6037</v>
      </c>
      <c r="F1502">
        <v>0</v>
      </c>
      <c r="G1502">
        <v>0.4699999988079071</v>
      </c>
      <c r="H1502">
        <v>0</v>
      </c>
      <c r="I1502">
        <v>0</v>
      </c>
      <c r="J1502" t="s">
        <v>6038</v>
      </c>
      <c r="K1502">
        <v>410</v>
      </c>
      <c r="L1502">
        <v>364</v>
      </c>
      <c r="M1502">
        <v>-11.22</v>
      </c>
      <c r="N1502">
        <v>-4.71</v>
      </c>
      <c r="O1502">
        <v>-10.050000000000001</v>
      </c>
      <c r="P1502">
        <v>6.98</v>
      </c>
      <c r="Q1502">
        <v>-11.93</v>
      </c>
      <c r="R1502">
        <v>0</v>
      </c>
      <c r="S1502">
        <v>-11.88</v>
      </c>
      <c r="T1502">
        <v>2.0499999999999998</v>
      </c>
      <c r="U1502">
        <v>1.52</v>
      </c>
      <c r="V1502">
        <v>2.4</v>
      </c>
      <c r="W1502">
        <v>2.2799999999999998</v>
      </c>
      <c r="X1502">
        <v>2.04</v>
      </c>
      <c r="Y1502">
        <v>6.11</v>
      </c>
      <c r="Z1502">
        <v>2.2999999999999998</v>
      </c>
      <c r="AA1502">
        <v>6.61</v>
      </c>
      <c r="AB1502">
        <v>2.91</v>
      </c>
      <c r="AC1502">
        <v>5.23</v>
      </c>
      <c r="AD1502">
        <v>0</v>
      </c>
      <c r="AE1502">
        <v>1.94</v>
      </c>
      <c r="AF1502">
        <v>3.165</v>
      </c>
      <c r="AG1502" t="str">
        <f>HYPERLINK("https://finance.naver.com/item/fchart.naver?code=009310", "참엔지니어링 차트보기")</f>
        <v>참엔지니어링 차트보기</v>
      </c>
    </row>
    <row r="1503" spans="1:33" x14ac:dyDescent="0.3">
      <c r="A1503" t="s">
        <v>6039</v>
      </c>
      <c r="B1503" t="s">
        <v>55</v>
      </c>
      <c r="C1503" t="s">
        <v>6040</v>
      </c>
      <c r="D1503">
        <v>9442.86</v>
      </c>
      <c r="E1503" t="s">
        <v>6041</v>
      </c>
      <c r="F1503">
        <v>6.33</v>
      </c>
      <c r="G1503">
        <v>0.62000000476837158</v>
      </c>
      <c r="H1503">
        <v>858</v>
      </c>
      <c r="I1503">
        <v>3.6800000667572021</v>
      </c>
      <c r="J1503" t="s">
        <v>6042</v>
      </c>
      <c r="K1503">
        <v>5500</v>
      </c>
      <c r="L1503">
        <v>5430</v>
      </c>
      <c r="M1503">
        <v>-1.27</v>
      </c>
      <c r="N1503">
        <v>-0.73</v>
      </c>
      <c r="O1503">
        <v>10.66</v>
      </c>
      <c r="P1503">
        <v>2.71</v>
      </c>
      <c r="Q1503">
        <v>-4.37</v>
      </c>
      <c r="R1503">
        <v>-0.2</v>
      </c>
      <c r="S1503">
        <v>-5.99</v>
      </c>
      <c r="T1503">
        <v>1.3</v>
      </c>
      <c r="U1503">
        <v>1.41</v>
      </c>
      <c r="V1503">
        <v>1.1200000000000001</v>
      </c>
      <c r="W1503">
        <v>1.52</v>
      </c>
      <c r="X1503">
        <v>0.61</v>
      </c>
      <c r="Y1503">
        <v>1.1399999999999999</v>
      </c>
      <c r="Z1503">
        <v>0.56000000000000005</v>
      </c>
      <c r="AA1503">
        <v>7.56</v>
      </c>
      <c r="AB1503">
        <v>2.42</v>
      </c>
      <c r="AC1503">
        <v>2.88</v>
      </c>
      <c r="AD1503">
        <v>0.33</v>
      </c>
      <c r="AE1503">
        <v>5.25</v>
      </c>
      <c r="AF1503">
        <v>3.166666666666667</v>
      </c>
      <c r="AG1503" t="str">
        <f>HYPERLINK("https://finance.naver.com/item/fchart.naver?code=111710", "남화산업 차트보기")</f>
        <v>남화산업 차트보기</v>
      </c>
    </row>
    <row r="1504" spans="1:33" x14ac:dyDescent="0.3">
      <c r="A1504" t="s">
        <v>6043</v>
      </c>
      <c r="B1504" t="s">
        <v>34</v>
      </c>
      <c r="C1504" t="s">
        <v>6044</v>
      </c>
      <c r="D1504">
        <v>270833.52</v>
      </c>
      <c r="E1504" t="s">
        <v>6045</v>
      </c>
      <c r="F1504">
        <v>0</v>
      </c>
      <c r="G1504">
        <v>9.5299997329711914</v>
      </c>
      <c r="H1504">
        <v>0</v>
      </c>
      <c r="I1504">
        <v>0</v>
      </c>
      <c r="J1504" t="s">
        <v>6046</v>
      </c>
      <c r="K1504">
        <v>9930</v>
      </c>
      <c r="L1504">
        <v>8700</v>
      </c>
      <c r="M1504">
        <v>-12.39</v>
      </c>
      <c r="N1504">
        <v>-8.9</v>
      </c>
      <c r="O1504">
        <v>-4.42</v>
      </c>
      <c r="P1504">
        <v>7.05</v>
      </c>
      <c r="Q1504">
        <v>-2.37</v>
      </c>
      <c r="R1504">
        <v>-1.82</v>
      </c>
      <c r="S1504">
        <v>-6.38</v>
      </c>
      <c r="T1504">
        <v>1.22</v>
      </c>
      <c r="U1504">
        <v>1.31</v>
      </c>
      <c r="V1504">
        <v>2.27</v>
      </c>
      <c r="W1504">
        <v>2.87</v>
      </c>
      <c r="X1504">
        <v>1.7</v>
      </c>
      <c r="Y1504">
        <v>1.92</v>
      </c>
      <c r="Z1504">
        <v>7.3</v>
      </c>
      <c r="AA1504">
        <v>3.37</v>
      </c>
      <c r="AB1504">
        <v>3.11</v>
      </c>
      <c r="AC1504">
        <v>0.83</v>
      </c>
      <c r="AD1504">
        <v>1.07</v>
      </c>
      <c r="AE1504">
        <v>3.32</v>
      </c>
      <c r="AF1504">
        <v>3.166666666666667</v>
      </c>
      <c r="AG1504" t="str">
        <f>HYPERLINK("https://finance.naver.com/item/fchart.naver?code=032350", "롯데관광개발 차트보기")</f>
        <v>롯데관광개발 차트보기</v>
      </c>
    </row>
    <row r="1505" spans="1:33" x14ac:dyDescent="0.3">
      <c r="A1505" t="s">
        <v>6047</v>
      </c>
      <c r="B1505" t="s">
        <v>55</v>
      </c>
      <c r="C1505" t="s">
        <v>6048</v>
      </c>
      <c r="D1505">
        <v>112204</v>
      </c>
      <c r="E1505" t="s">
        <v>6049</v>
      </c>
      <c r="F1505">
        <v>0</v>
      </c>
      <c r="G1505">
        <v>1.299999952316284</v>
      </c>
      <c r="H1505">
        <v>0</v>
      </c>
      <c r="I1505">
        <v>0</v>
      </c>
      <c r="J1505" t="s">
        <v>6050</v>
      </c>
      <c r="K1505">
        <v>9700</v>
      </c>
      <c r="L1505">
        <v>6830</v>
      </c>
      <c r="M1505">
        <v>-29.59</v>
      </c>
      <c r="N1505">
        <v>2.86</v>
      </c>
      <c r="O1505">
        <v>-2.48</v>
      </c>
      <c r="P1505">
        <v>-3.96</v>
      </c>
      <c r="Q1505">
        <v>-25.82</v>
      </c>
      <c r="R1505">
        <v>2.4</v>
      </c>
      <c r="S1505">
        <v>-22.57</v>
      </c>
      <c r="T1505">
        <v>3.13</v>
      </c>
      <c r="U1505">
        <v>2.4300000000000002</v>
      </c>
      <c r="V1505">
        <v>2.63</v>
      </c>
      <c r="W1505">
        <v>4.01</v>
      </c>
      <c r="X1505">
        <v>4.41</v>
      </c>
      <c r="Y1505">
        <v>2.63</v>
      </c>
      <c r="Z1505">
        <v>0.91</v>
      </c>
      <c r="AA1505">
        <v>1.02</v>
      </c>
      <c r="AB1505">
        <v>1.51</v>
      </c>
      <c r="AC1505">
        <v>6.44</v>
      </c>
      <c r="AD1505">
        <v>0.54</v>
      </c>
      <c r="AE1505">
        <v>8.58</v>
      </c>
      <c r="AF1505">
        <v>3.166666666666667</v>
      </c>
      <c r="AG1505" t="str">
        <f>HYPERLINK("https://finance.naver.com/item/fchart.naver?code=327260", "RF머트리얼즈 차트보기")</f>
        <v>RF머트리얼즈 차트보기</v>
      </c>
    </row>
    <row r="1506" spans="1:33" x14ac:dyDescent="0.3">
      <c r="A1506" t="s">
        <v>6051</v>
      </c>
      <c r="B1506" t="s">
        <v>34</v>
      </c>
      <c r="C1506" t="s">
        <v>6052</v>
      </c>
      <c r="D1506">
        <v>75380.05</v>
      </c>
      <c r="E1506" t="s">
        <v>6053</v>
      </c>
      <c r="F1506">
        <v>11.22</v>
      </c>
      <c r="G1506">
        <v>0.87000000476837158</v>
      </c>
      <c r="H1506">
        <v>1400</v>
      </c>
      <c r="I1506">
        <v>2.5499999523162842</v>
      </c>
      <c r="J1506" t="s">
        <v>6054</v>
      </c>
      <c r="K1506">
        <v>16590</v>
      </c>
      <c r="L1506">
        <v>15710</v>
      </c>
      <c r="M1506">
        <v>-5.3</v>
      </c>
      <c r="N1506">
        <v>10.25</v>
      </c>
      <c r="O1506">
        <v>0.62</v>
      </c>
      <c r="P1506">
        <v>-3.41</v>
      </c>
      <c r="Q1506">
        <v>-14.67</v>
      </c>
      <c r="R1506">
        <v>15.08</v>
      </c>
      <c r="S1506">
        <v>-6.26</v>
      </c>
      <c r="T1506">
        <v>2.4500000000000002</v>
      </c>
      <c r="U1506">
        <v>1.46</v>
      </c>
      <c r="V1506">
        <v>2.23</v>
      </c>
      <c r="W1506">
        <v>4.1100000000000003</v>
      </c>
      <c r="X1506">
        <v>3.42</v>
      </c>
      <c r="Y1506">
        <v>1.28</v>
      </c>
      <c r="Z1506">
        <v>4.18</v>
      </c>
      <c r="AA1506">
        <v>0.42</v>
      </c>
      <c r="AB1506">
        <v>1.53</v>
      </c>
      <c r="AC1506">
        <v>3.57</v>
      </c>
      <c r="AD1506">
        <v>4.41</v>
      </c>
      <c r="AE1506">
        <v>4.8899999999999997</v>
      </c>
      <c r="AF1506">
        <v>3.166666666666667</v>
      </c>
      <c r="AG1506" t="str">
        <f>HYPERLINK("https://finance.naver.com/item/fchart.naver?code=053690", "한미글로벌 차트보기")</f>
        <v>한미글로벌 차트보기</v>
      </c>
    </row>
    <row r="1507" spans="1:33" x14ac:dyDescent="0.3">
      <c r="A1507" t="s">
        <v>6055</v>
      </c>
      <c r="B1507" t="s">
        <v>55</v>
      </c>
      <c r="C1507" t="s">
        <v>6056</v>
      </c>
      <c r="D1507">
        <v>23570.76</v>
      </c>
      <c r="E1507" t="s">
        <v>6057</v>
      </c>
      <c r="F1507">
        <v>5.84</v>
      </c>
      <c r="G1507">
        <v>0.77999997138977051</v>
      </c>
      <c r="H1507">
        <v>890</v>
      </c>
      <c r="I1507">
        <v>1.5399999618530269</v>
      </c>
      <c r="J1507" t="s">
        <v>6058</v>
      </c>
      <c r="K1507">
        <v>9560</v>
      </c>
      <c r="L1507">
        <v>5200</v>
      </c>
      <c r="M1507">
        <v>-45.61</v>
      </c>
      <c r="N1507">
        <v>-2.62</v>
      </c>
      <c r="O1507">
        <v>-7.47</v>
      </c>
      <c r="P1507">
        <v>-2.81</v>
      </c>
      <c r="Q1507">
        <v>-18.350000000000001</v>
      </c>
      <c r="R1507">
        <v>-14.48</v>
      </c>
      <c r="S1507">
        <v>-8.7899999999999991</v>
      </c>
      <c r="T1507">
        <v>3.35</v>
      </c>
      <c r="U1507">
        <v>2.38</v>
      </c>
      <c r="V1507">
        <v>3.07</v>
      </c>
      <c r="W1507">
        <v>5.3</v>
      </c>
      <c r="X1507">
        <v>2.66</v>
      </c>
      <c r="Y1507">
        <v>1.67</v>
      </c>
      <c r="Z1507">
        <v>0.78</v>
      </c>
      <c r="AA1507">
        <v>3.14</v>
      </c>
      <c r="AB1507">
        <v>0.92</v>
      </c>
      <c r="AC1507">
        <v>3.46</v>
      </c>
      <c r="AD1507">
        <v>5.44</v>
      </c>
      <c r="AE1507">
        <v>5.26</v>
      </c>
      <c r="AF1507">
        <v>3.166666666666667</v>
      </c>
      <c r="AG1507" t="str">
        <f>HYPERLINK("https://finance.naver.com/item/fchart.naver?code=098120", "마이크로컨텍솔 차트보기")</f>
        <v>마이크로컨텍솔 차트보기</v>
      </c>
    </row>
    <row r="1508" spans="1:33" x14ac:dyDescent="0.3">
      <c r="A1508" t="s">
        <v>6059</v>
      </c>
      <c r="B1508" t="s">
        <v>34</v>
      </c>
      <c r="C1508" t="s">
        <v>6060</v>
      </c>
      <c r="D1508">
        <v>210681.57</v>
      </c>
      <c r="E1508" t="s">
        <v>6061</v>
      </c>
      <c r="F1508">
        <v>43.04</v>
      </c>
      <c r="G1508">
        <v>2.4900000095367432</v>
      </c>
      <c r="H1508">
        <v>26139</v>
      </c>
      <c r="I1508">
        <v>1.330000042915344</v>
      </c>
      <c r="J1508" t="s">
        <v>6062</v>
      </c>
      <c r="K1508">
        <v>514000</v>
      </c>
      <c r="L1508">
        <v>1125000</v>
      </c>
      <c r="M1508">
        <v>118.87</v>
      </c>
      <c r="N1508">
        <v>12.05</v>
      </c>
      <c r="O1508">
        <v>39.97</v>
      </c>
      <c r="P1508">
        <v>26.94</v>
      </c>
      <c r="Q1508">
        <v>9.41</v>
      </c>
      <c r="R1508">
        <v>-5.28</v>
      </c>
      <c r="S1508">
        <v>3.41</v>
      </c>
      <c r="T1508">
        <v>7.78</v>
      </c>
      <c r="U1508">
        <v>11.13</v>
      </c>
      <c r="V1508">
        <v>5.15</v>
      </c>
      <c r="W1508">
        <v>2.59</v>
      </c>
      <c r="X1508">
        <v>1.53</v>
      </c>
      <c r="Y1508">
        <v>2.1800000000000002</v>
      </c>
      <c r="Z1508">
        <v>1.55</v>
      </c>
      <c r="AA1508">
        <v>3.59</v>
      </c>
      <c r="AB1508">
        <v>5.23</v>
      </c>
      <c r="AC1508">
        <v>3.63</v>
      </c>
      <c r="AD1508">
        <v>3.45</v>
      </c>
      <c r="AE1508">
        <v>1.56</v>
      </c>
      <c r="AF1508">
        <v>3.168333333333333</v>
      </c>
      <c r="AG1508" t="str">
        <f>HYPERLINK("https://finance.naver.com/item/fchart.naver?code=010130", "고려아연 차트보기")</f>
        <v>고려아연 차트보기</v>
      </c>
    </row>
    <row r="1509" spans="1:33" x14ac:dyDescent="0.3">
      <c r="A1509" t="s">
        <v>6063</v>
      </c>
      <c r="B1509" t="s">
        <v>34</v>
      </c>
      <c r="C1509" t="s">
        <v>6064</v>
      </c>
      <c r="D1509">
        <v>26671.759999999998</v>
      </c>
      <c r="E1509" t="s">
        <v>6065</v>
      </c>
      <c r="F1509">
        <v>21.62</v>
      </c>
      <c r="G1509">
        <v>0.40999999642372131</v>
      </c>
      <c r="H1509">
        <v>2072</v>
      </c>
      <c r="I1509">
        <v>1.450000047683716</v>
      </c>
      <c r="J1509" t="s">
        <v>6066</v>
      </c>
      <c r="K1509">
        <v>58000</v>
      </c>
      <c r="L1509">
        <v>44800</v>
      </c>
      <c r="M1509">
        <v>-22.76</v>
      </c>
      <c r="N1509">
        <v>-8.1999999999999993</v>
      </c>
      <c r="O1509">
        <v>-1.19</v>
      </c>
      <c r="P1509">
        <v>4.62</v>
      </c>
      <c r="Q1509">
        <v>-2.5499999999999998</v>
      </c>
      <c r="R1509">
        <v>1.02</v>
      </c>
      <c r="S1509">
        <v>-9.8000000000000007</v>
      </c>
      <c r="T1509">
        <v>1.04</v>
      </c>
      <c r="U1509">
        <v>2.02</v>
      </c>
      <c r="V1509">
        <v>1.89</v>
      </c>
      <c r="W1509">
        <v>3.5</v>
      </c>
      <c r="X1509">
        <v>1.1299999999999999</v>
      </c>
      <c r="Y1509">
        <v>1.51</v>
      </c>
      <c r="Z1509">
        <v>7.88</v>
      </c>
      <c r="AA1509">
        <v>0.59</v>
      </c>
      <c r="AB1509">
        <v>2.44</v>
      </c>
      <c r="AC1509">
        <v>0.73</v>
      </c>
      <c r="AD1509">
        <v>0.9</v>
      </c>
      <c r="AE1509">
        <v>6.49</v>
      </c>
      <c r="AF1509">
        <v>3.1716666666666669</v>
      </c>
      <c r="AG1509" t="str">
        <f>HYPERLINK("https://finance.naver.com/item/fchart.naver?code=285130", "SK케미칼 차트보기")</f>
        <v>SK케미칼 차트보기</v>
      </c>
    </row>
    <row r="1510" spans="1:33" x14ac:dyDescent="0.3">
      <c r="A1510" t="s">
        <v>6067</v>
      </c>
      <c r="B1510" t="s">
        <v>55</v>
      </c>
      <c r="C1510" t="s">
        <v>6068</v>
      </c>
      <c r="D1510">
        <v>887882.62</v>
      </c>
      <c r="E1510" t="s">
        <v>6069</v>
      </c>
      <c r="F1510">
        <v>0</v>
      </c>
      <c r="G1510">
        <v>8.2899999618530273</v>
      </c>
      <c r="H1510">
        <v>0</v>
      </c>
      <c r="I1510">
        <v>0</v>
      </c>
      <c r="J1510" t="s">
        <v>6070</v>
      </c>
      <c r="K1510">
        <v>13250</v>
      </c>
      <c r="L1510">
        <v>13470</v>
      </c>
      <c r="M1510">
        <v>1.66</v>
      </c>
      <c r="N1510">
        <v>0.45</v>
      </c>
      <c r="O1510">
        <v>19</v>
      </c>
      <c r="P1510">
        <v>-10.1</v>
      </c>
      <c r="Q1510">
        <v>28.97</v>
      </c>
      <c r="R1510">
        <v>-1.65</v>
      </c>
      <c r="S1510">
        <v>-11.28</v>
      </c>
      <c r="T1510">
        <v>3.45</v>
      </c>
      <c r="U1510">
        <v>3.71</v>
      </c>
      <c r="V1510">
        <v>3.13</v>
      </c>
      <c r="W1510">
        <v>5.71</v>
      </c>
      <c r="X1510">
        <v>3.33</v>
      </c>
      <c r="Y1510">
        <v>2.2599999999999998</v>
      </c>
      <c r="Z1510">
        <v>0.13</v>
      </c>
      <c r="AA1510">
        <v>5.12</v>
      </c>
      <c r="AB1510">
        <v>3.23</v>
      </c>
      <c r="AC1510">
        <v>5.07</v>
      </c>
      <c r="AD1510">
        <v>0.5</v>
      </c>
      <c r="AE1510">
        <v>4.99</v>
      </c>
      <c r="AF1510">
        <v>3.1733333333333329</v>
      </c>
      <c r="AG1510" t="str">
        <f>HYPERLINK("https://finance.naver.com/item/fchart.naver?code=358570", "지아이이노베이션 차트보기")</f>
        <v>지아이이노베이션 차트보기</v>
      </c>
    </row>
    <row r="1511" spans="1:33" x14ac:dyDescent="0.3">
      <c r="A1511" t="s">
        <v>6071</v>
      </c>
      <c r="B1511" t="s">
        <v>34</v>
      </c>
      <c r="C1511" t="s">
        <v>6072</v>
      </c>
      <c r="D1511">
        <v>59297.86</v>
      </c>
      <c r="E1511" t="s">
        <v>6073</v>
      </c>
      <c r="F1511">
        <v>187.87</v>
      </c>
      <c r="G1511">
        <v>2.5499999523162842</v>
      </c>
      <c r="H1511">
        <v>235</v>
      </c>
      <c r="I1511">
        <v>0.23000000417232511</v>
      </c>
      <c r="J1511" t="s">
        <v>6074</v>
      </c>
      <c r="K1511">
        <v>78400</v>
      </c>
      <c r="L1511">
        <v>44150</v>
      </c>
      <c r="M1511">
        <v>-43.69</v>
      </c>
      <c r="N1511">
        <v>-10.08</v>
      </c>
      <c r="O1511">
        <v>2.5099999999999998</v>
      </c>
      <c r="P1511">
        <v>2.82</v>
      </c>
      <c r="Q1511">
        <v>-9.4600000000000009</v>
      </c>
      <c r="R1511">
        <v>-29.39</v>
      </c>
      <c r="S1511">
        <v>-11.57</v>
      </c>
      <c r="T1511">
        <v>4.4800000000000004</v>
      </c>
      <c r="U1511">
        <v>4.0199999999999996</v>
      </c>
      <c r="V1511">
        <v>4.82</v>
      </c>
      <c r="W1511">
        <v>5.18</v>
      </c>
      <c r="X1511">
        <v>2.93</v>
      </c>
      <c r="Y1511">
        <v>3.11</v>
      </c>
      <c r="Z1511">
        <v>2.25</v>
      </c>
      <c r="AA1511">
        <v>0.62</v>
      </c>
      <c r="AB1511">
        <v>0.59</v>
      </c>
      <c r="AC1511">
        <v>1.83</v>
      </c>
      <c r="AD1511">
        <v>10.029999999999999</v>
      </c>
      <c r="AE1511">
        <v>3.72</v>
      </c>
      <c r="AF1511">
        <v>3.1733333333333329</v>
      </c>
      <c r="AG1511" t="str">
        <f>HYPERLINK("https://finance.naver.com/item/fchart.naver?code=006110", "삼아알미늄 차트보기")</f>
        <v>삼아알미늄 차트보기</v>
      </c>
    </row>
    <row r="1512" spans="1:33" x14ac:dyDescent="0.3">
      <c r="A1512" t="s">
        <v>6075</v>
      </c>
      <c r="B1512" t="s">
        <v>55</v>
      </c>
      <c r="C1512" t="s">
        <v>6076</v>
      </c>
      <c r="D1512">
        <v>1532066.71</v>
      </c>
      <c r="E1512" t="s">
        <v>6077</v>
      </c>
      <c r="F1512">
        <v>0</v>
      </c>
      <c r="G1512">
        <v>1.200000047683716</v>
      </c>
      <c r="H1512">
        <v>0</v>
      </c>
      <c r="I1512">
        <v>0</v>
      </c>
      <c r="J1512" t="s">
        <v>6078</v>
      </c>
      <c r="K1512">
        <v>4640</v>
      </c>
      <c r="L1512">
        <v>4320</v>
      </c>
      <c r="M1512">
        <v>-6.9</v>
      </c>
      <c r="N1512">
        <v>8.82</v>
      </c>
      <c r="O1512">
        <v>9.86</v>
      </c>
      <c r="P1512">
        <v>-8.5</v>
      </c>
      <c r="Q1512">
        <v>-18.45</v>
      </c>
      <c r="R1512">
        <v>6.47</v>
      </c>
      <c r="S1512">
        <v>-8.27</v>
      </c>
      <c r="T1512">
        <v>6.66</v>
      </c>
      <c r="U1512">
        <v>3.03</v>
      </c>
      <c r="V1512">
        <v>2.75</v>
      </c>
      <c r="W1512">
        <v>4.58</v>
      </c>
      <c r="X1512">
        <v>3.89</v>
      </c>
      <c r="Y1512">
        <v>1.45</v>
      </c>
      <c r="Z1512">
        <v>1.32</v>
      </c>
      <c r="AA1512">
        <v>3.25</v>
      </c>
      <c r="AB1512">
        <v>3.09</v>
      </c>
      <c r="AC1512">
        <v>4.03</v>
      </c>
      <c r="AD1512">
        <v>1.66</v>
      </c>
      <c r="AE1512">
        <v>5.7</v>
      </c>
      <c r="AF1512">
        <v>3.1749999999999998</v>
      </c>
      <c r="AG1512" t="str">
        <f>HYPERLINK("https://finance.naver.com/item/fchart.naver?code=109610", "에스와이 차트보기")</f>
        <v>에스와이 차트보기</v>
      </c>
    </row>
    <row r="1513" spans="1:33" x14ac:dyDescent="0.3">
      <c r="A1513" t="s">
        <v>6079</v>
      </c>
      <c r="B1513" t="s">
        <v>34</v>
      </c>
      <c r="C1513" t="s">
        <v>6080</v>
      </c>
      <c r="D1513">
        <v>13975.29</v>
      </c>
      <c r="E1513" t="s">
        <v>6081</v>
      </c>
      <c r="F1513">
        <v>3.26</v>
      </c>
      <c r="G1513">
        <v>0.25999999046325678</v>
      </c>
      <c r="H1513">
        <v>6602</v>
      </c>
      <c r="I1513">
        <v>4.179999828338623</v>
      </c>
      <c r="J1513" t="s">
        <v>6082</v>
      </c>
      <c r="K1513">
        <v>22550</v>
      </c>
      <c r="L1513">
        <v>21550</v>
      </c>
      <c r="M1513">
        <v>-4.43</v>
      </c>
      <c r="N1513">
        <v>-3.15</v>
      </c>
      <c r="O1513">
        <v>7.54</v>
      </c>
      <c r="P1513">
        <v>3.87</v>
      </c>
      <c r="Q1513">
        <v>-10.48</v>
      </c>
      <c r="R1513">
        <v>2.2799999999999998</v>
      </c>
      <c r="S1513">
        <v>-3.1</v>
      </c>
      <c r="T1513">
        <v>2.0099999999999998</v>
      </c>
      <c r="U1513">
        <v>1.95</v>
      </c>
      <c r="V1513">
        <v>1.22</v>
      </c>
      <c r="W1513">
        <v>2.4700000000000002</v>
      </c>
      <c r="X1513">
        <v>1.44</v>
      </c>
      <c r="Y1513">
        <v>0.67</v>
      </c>
      <c r="Z1513">
        <v>1.57</v>
      </c>
      <c r="AA1513">
        <v>3.87</v>
      </c>
      <c r="AB1513">
        <v>3.17</v>
      </c>
      <c r="AC1513">
        <v>4.24</v>
      </c>
      <c r="AD1513">
        <v>1.58</v>
      </c>
      <c r="AE1513">
        <v>4.63</v>
      </c>
      <c r="AF1513">
        <v>3.1766666666666659</v>
      </c>
      <c r="AG1513" t="str">
        <f>HYPERLINK("https://finance.naver.com/item/fchart.naver?code=001940", "KISCO홀딩스 차트보기")</f>
        <v>KISCO홀딩스 차트보기</v>
      </c>
    </row>
    <row r="1514" spans="1:33" x14ac:dyDescent="0.3">
      <c r="A1514" t="s">
        <v>6083</v>
      </c>
      <c r="B1514" t="s">
        <v>55</v>
      </c>
      <c r="C1514" t="s">
        <v>6084</v>
      </c>
      <c r="D1514">
        <v>11608869.810000001</v>
      </c>
      <c r="E1514" t="s">
        <v>6085</v>
      </c>
      <c r="F1514">
        <v>11.17</v>
      </c>
      <c r="G1514">
        <v>0.69999998807907104</v>
      </c>
      <c r="H1514">
        <v>239</v>
      </c>
      <c r="I1514">
        <v>0</v>
      </c>
      <c r="J1514" t="s">
        <v>6086</v>
      </c>
      <c r="K1514">
        <v>2270</v>
      </c>
      <c r="L1514">
        <v>2670</v>
      </c>
      <c r="M1514">
        <v>17.62</v>
      </c>
      <c r="N1514">
        <v>-24.79</v>
      </c>
      <c r="O1514">
        <v>56.31</v>
      </c>
      <c r="P1514">
        <v>1.33</v>
      </c>
      <c r="Q1514">
        <v>-6.81</v>
      </c>
      <c r="R1514">
        <v>-4.68</v>
      </c>
      <c r="S1514">
        <v>-3.62</v>
      </c>
      <c r="T1514">
        <v>6.7</v>
      </c>
      <c r="U1514">
        <v>8.49</v>
      </c>
      <c r="V1514">
        <v>1.67</v>
      </c>
      <c r="W1514">
        <v>3.49</v>
      </c>
      <c r="X1514">
        <v>1.3</v>
      </c>
      <c r="Y1514">
        <v>1.52</v>
      </c>
      <c r="Z1514">
        <v>3.7</v>
      </c>
      <c r="AA1514">
        <v>6.63</v>
      </c>
      <c r="AB1514">
        <v>0.8</v>
      </c>
      <c r="AC1514">
        <v>1.95</v>
      </c>
      <c r="AD1514">
        <v>3.6</v>
      </c>
      <c r="AE1514">
        <v>2.38</v>
      </c>
      <c r="AF1514">
        <v>3.1766666666666659</v>
      </c>
      <c r="AG1514" t="str">
        <f>HYPERLINK("https://finance.naver.com/item/fchart.naver?code=024740", "한일단조 차트보기")</f>
        <v>한일단조 차트보기</v>
      </c>
    </row>
    <row r="1515" spans="1:33" x14ac:dyDescent="0.3">
      <c r="A1515" t="s">
        <v>6087</v>
      </c>
      <c r="B1515" t="s">
        <v>55</v>
      </c>
      <c r="C1515" t="s">
        <v>6088</v>
      </c>
      <c r="D1515">
        <v>158249.04999999999</v>
      </c>
      <c r="E1515" t="s">
        <v>6089</v>
      </c>
      <c r="F1515">
        <v>52.57</v>
      </c>
      <c r="G1515">
        <v>2.279999971389771</v>
      </c>
      <c r="H1515">
        <v>35</v>
      </c>
      <c r="I1515">
        <v>0</v>
      </c>
      <c r="J1515" t="s">
        <v>6090</v>
      </c>
      <c r="K1515">
        <v>2215</v>
      </c>
      <c r="L1515">
        <v>1840</v>
      </c>
      <c r="M1515">
        <v>-16.93</v>
      </c>
      <c r="N1515">
        <v>1.49</v>
      </c>
      <c r="O1515">
        <v>-10.93</v>
      </c>
      <c r="P1515">
        <v>-11.42</v>
      </c>
      <c r="Q1515">
        <v>10.17</v>
      </c>
      <c r="R1515">
        <v>-2.99</v>
      </c>
      <c r="S1515">
        <v>-8.57</v>
      </c>
      <c r="T1515">
        <v>1.3</v>
      </c>
      <c r="U1515">
        <v>1.53</v>
      </c>
      <c r="V1515">
        <v>3.06</v>
      </c>
      <c r="W1515">
        <v>5.01</v>
      </c>
      <c r="X1515">
        <v>2.27</v>
      </c>
      <c r="Y1515">
        <v>2.3199999999999998</v>
      </c>
      <c r="Z1515">
        <v>1.1499999999999999</v>
      </c>
      <c r="AA1515">
        <v>7.14</v>
      </c>
      <c r="AB1515">
        <v>3.73</v>
      </c>
      <c r="AC1515">
        <v>2.0299999999999998</v>
      </c>
      <c r="AD1515">
        <v>1.32</v>
      </c>
      <c r="AE1515">
        <v>3.69</v>
      </c>
      <c r="AF1515">
        <v>3.1766666666666659</v>
      </c>
      <c r="AG1515" t="str">
        <f>HYPERLINK("https://finance.naver.com/item/fchart.naver?code=419540", "비스토스 차트보기")</f>
        <v>비스토스 차트보기</v>
      </c>
    </row>
    <row r="1516" spans="1:33" x14ac:dyDescent="0.3">
      <c r="A1516" t="s">
        <v>6091</v>
      </c>
      <c r="B1516" t="s">
        <v>34</v>
      </c>
      <c r="C1516" t="s">
        <v>6092</v>
      </c>
      <c r="D1516">
        <v>73452.710000000006</v>
      </c>
      <c r="E1516" t="s">
        <v>6093</v>
      </c>
      <c r="F1516">
        <v>3.11</v>
      </c>
      <c r="G1516">
        <v>0.38999998569488531</v>
      </c>
      <c r="H1516">
        <v>1376</v>
      </c>
      <c r="I1516">
        <v>2.339999914169312</v>
      </c>
      <c r="J1516" t="s">
        <v>6094</v>
      </c>
      <c r="K1516">
        <v>5960</v>
      </c>
      <c r="L1516">
        <v>4275</v>
      </c>
      <c r="M1516">
        <v>-28.27</v>
      </c>
      <c r="N1516">
        <v>-0.81</v>
      </c>
      <c r="O1516">
        <v>-1.25</v>
      </c>
      <c r="P1516">
        <v>-5.58</v>
      </c>
      <c r="Q1516">
        <v>-7.56</v>
      </c>
      <c r="R1516">
        <v>-7.79</v>
      </c>
      <c r="S1516">
        <v>-7.26</v>
      </c>
      <c r="T1516">
        <v>1.48</v>
      </c>
      <c r="U1516">
        <v>0.81</v>
      </c>
      <c r="V1516">
        <v>1.69</v>
      </c>
      <c r="W1516">
        <v>2.81</v>
      </c>
      <c r="X1516">
        <v>1.63</v>
      </c>
      <c r="Y1516">
        <v>1.17</v>
      </c>
      <c r="Z1516">
        <v>0.55000000000000004</v>
      </c>
      <c r="AA1516">
        <v>1.54</v>
      </c>
      <c r="AB1516">
        <v>3.3</v>
      </c>
      <c r="AC1516">
        <v>2.69</v>
      </c>
      <c r="AD1516">
        <v>4.78</v>
      </c>
      <c r="AE1516">
        <v>6.21</v>
      </c>
      <c r="AF1516">
        <v>3.1783333333333328</v>
      </c>
      <c r="AG1516" t="str">
        <f>HYPERLINK("https://finance.naver.com/item/fchart.naver?code=004710", "한솔테크닉스 차트보기")</f>
        <v>한솔테크닉스 차트보기</v>
      </c>
    </row>
    <row r="1517" spans="1:33" x14ac:dyDescent="0.3">
      <c r="A1517" t="s">
        <v>6095</v>
      </c>
      <c r="B1517" t="s">
        <v>55</v>
      </c>
      <c r="C1517" t="s">
        <v>6096</v>
      </c>
      <c r="D1517">
        <v>367805.38</v>
      </c>
      <c r="E1517" t="s">
        <v>6097</v>
      </c>
      <c r="F1517">
        <v>2.08</v>
      </c>
      <c r="G1517">
        <v>0.36000001430511469</v>
      </c>
      <c r="H1517">
        <v>1315</v>
      </c>
      <c r="I1517">
        <v>3.660000085830688</v>
      </c>
      <c r="J1517" t="s">
        <v>6098</v>
      </c>
      <c r="K1517">
        <v>3755</v>
      </c>
      <c r="L1517">
        <v>2735</v>
      </c>
      <c r="M1517">
        <v>-27.16</v>
      </c>
      <c r="N1517">
        <v>1.3</v>
      </c>
      <c r="O1517">
        <v>-10.130000000000001</v>
      </c>
      <c r="P1517">
        <v>-3.34</v>
      </c>
      <c r="Q1517">
        <v>-1.0900000000000001</v>
      </c>
      <c r="R1517">
        <v>-10.97</v>
      </c>
      <c r="S1517">
        <v>0.86</v>
      </c>
      <c r="T1517">
        <v>1.44</v>
      </c>
      <c r="U1517">
        <v>1.39</v>
      </c>
      <c r="V1517">
        <v>1.44</v>
      </c>
      <c r="W1517">
        <v>3.58</v>
      </c>
      <c r="X1517">
        <v>1.4</v>
      </c>
      <c r="Y1517">
        <v>2.0499999999999998</v>
      </c>
      <c r="Z1517">
        <v>0.9</v>
      </c>
      <c r="AA1517">
        <v>7.29</v>
      </c>
      <c r="AB1517">
        <v>2.3199999999999998</v>
      </c>
      <c r="AC1517">
        <v>0.3</v>
      </c>
      <c r="AD1517">
        <v>7.84</v>
      </c>
      <c r="AE1517">
        <v>0.42</v>
      </c>
      <c r="AF1517">
        <v>3.1783333333333328</v>
      </c>
      <c r="AG1517" t="str">
        <f>HYPERLINK("https://finance.naver.com/item/fchart.naver?code=013310", "아진산업 차트보기")</f>
        <v>아진산업 차트보기</v>
      </c>
    </row>
    <row r="1518" spans="1:33" x14ac:dyDescent="0.3">
      <c r="A1518" t="s">
        <v>6099</v>
      </c>
      <c r="B1518" t="s">
        <v>55</v>
      </c>
      <c r="C1518" t="s">
        <v>6100</v>
      </c>
      <c r="D1518">
        <v>2247.2399999999998</v>
      </c>
      <c r="E1518" t="s">
        <v>6101</v>
      </c>
      <c r="F1518">
        <v>0</v>
      </c>
      <c r="G1518">
        <v>0.2099999934434891</v>
      </c>
      <c r="H1518">
        <v>0</v>
      </c>
      <c r="I1518">
        <v>5.070000171661377</v>
      </c>
      <c r="J1518" t="s">
        <v>6102</v>
      </c>
      <c r="K1518">
        <v>16290</v>
      </c>
      <c r="L1518">
        <v>14800</v>
      </c>
      <c r="M1518">
        <v>-9.15</v>
      </c>
      <c r="N1518">
        <v>-2.5</v>
      </c>
      <c r="O1518">
        <v>-2</v>
      </c>
      <c r="P1518">
        <v>-5.88</v>
      </c>
      <c r="Q1518">
        <v>9.33</v>
      </c>
      <c r="R1518">
        <v>-1.95</v>
      </c>
      <c r="S1518">
        <v>-5.78</v>
      </c>
      <c r="T1518">
        <v>0.59</v>
      </c>
      <c r="U1518">
        <v>0.93</v>
      </c>
      <c r="V1518">
        <v>1.75</v>
      </c>
      <c r="W1518">
        <v>4.37</v>
      </c>
      <c r="X1518">
        <v>1.45</v>
      </c>
      <c r="Y1518">
        <v>0.99</v>
      </c>
      <c r="Z1518">
        <v>4.24</v>
      </c>
      <c r="AA1518">
        <v>2.15</v>
      </c>
      <c r="AB1518">
        <v>3.36</v>
      </c>
      <c r="AC1518">
        <v>2.14</v>
      </c>
      <c r="AD1518">
        <v>1.34</v>
      </c>
      <c r="AE1518">
        <v>5.84</v>
      </c>
      <c r="AF1518">
        <v>3.1783333333333328</v>
      </c>
      <c r="AG1518" t="str">
        <f>HYPERLINK("https://finance.naver.com/item/fchart.naver?code=016250", "SGC E&amp;C 차트보기")</f>
        <v>SGC E&amp;C 차트보기</v>
      </c>
    </row>
    <row r="1519" spans="1:33" x14ac:dyDescent="0.3">
      <c r="A1519" t="s">
        <v>6103</v>
      </c>
      <c r="B1519" t="s">
        <v>55</v>
      </c>
      <c r="C1519" t="s">
        <v>6104</v>
      </c>
      <c r="D1519">
        <v>1155681.1399999999</v>
      </c>
      <c r="E1519" t="s">
        <v>6105</v>
      </c>
      <c r="F1519">
        <v>0</v>
      </c>
      <c r="G1519">
        <v>1.1499999761581421</v>
      </c>
      <c r="H1519">
        <v>0</v>
      </c>
      <c r="I1519">
        <v>0</v>
      </c>
      <c r="J1519" t="s">
        <v>6106</v>
      </c>
      <c r="K1519">
        <v>1481</v>
      </c>
      <c r="L1519">
        <v>1190</v>
      </c>
      <c r="M1519">
        <v>-19.649999999999999</v>
      </c>
      <c r="N1519">
        <v>7.3</v>
      </c>
      <c r="O1519">
        <v>2.88</v>
      </c>
      <c r="P1519">
        <v>-0.71</v>
      </c>
      <c r="Q1519">
        <v>-1.66</v>
      </c>
      <c r="R1519">
        <v>-14.24</v>
      </c>
      <c r="S1519">
        <v>1.61</v>
      </c>
      <c r="T1519">
        <v>2.4700000000000002</v>
      </c>
      <c r="U1519">
        <v>1.26</v>
      </c>
      <c r="V1519">
        <v>2.97</v>
      </c>
      <c r="W1519">
        <v>4.09</v>
      </c>
      <c r="X1519">
        <v>1.2</v>
      </c>
      <c r="Y1519">
        <v>1.23</v>
      </c>
      <c r="Z1519">
        <v>2.96</v>
      </c>
      <c r="AA1519">
        <v>2.29</v>
      </c>
      <c r="AB1519">
        <v>0.24</v>
      </c>
      <c r="AC1519">
        <v>0.41</v>
      </c>
      <c r="AD1519">
        <v>11.87</v>
      </c>
      <c r="AE1519">
        <v>1.31</v>
      </c>
      <c r="AF1519">
        <v>3.18</v>
      </c>
      <c r="AG1519" t="str">
        <f>HYPERLINK("https://finance.naver.com/item/fchart.naver?code=046970", "우리로 차트보기")</f>
        <v>우리로 차트보기</v>
      </c>
    </row>
    <row r="1520" spans="1:33" x14ac:dyDescent="0.3">
      <c r="A1520" t="s">
        <v>6107</v>
      </c>
      <c r="B1520" t="s">
        <v>55</v>
      </c>
      <c r="C1520" t="s">
        <v>6108</v>
      </c>
      <c r="D1520">
        <v>291356.52</v>
      </c>
      <c r="E1520" t="s">
        <v>6109</v>
      </c>
      <c r="F1520">
        <v>4.63</v>
      </c>
      <c r="G1520">
        <v>0.81999999284744263</v>
      </c>
      <c r="H1520">
        <v>1097</v>
      </c>
      <c r="I1520">
        <v>2.3599998950958252</v>
      </c>
      <c r="J1520" t="s">
        <v>6110</v>
      </c>
      <c r="K1520">
        <v>6470</v>
      </c>
      <c r="L1520">
        <v>5080</v>
      </c>
      <c r="M1520">
        <v>-21.48</v>
      </c>
      <c r="N1520">
        <v>1.2</v>
      </c>
      <c r="O1520">
        <v>-14.79</v>
      </c>
      <c r="P1520">
        <v>-2.38</v>
      </c>
      <c r="Q1520">
        <v>27.87</v>
      </c>
      <c r="R1520">
        <v>-13.46</v>
      </c>
      <c r="S1520">
        <v>-6.47</v>
      </c>
      <c r="T1520">
        <v>2.08</v>
      </c>
      <c r="U1520">
        <v>2.41</v>
      </c>
      <c r="V1520">
        <v>3.41</v>
      </c>
      <c r="W1520">
        <v>6.08</v>
      </c>
      <c r="X1520">
        <v>2.86</v>
      </c>
      <c r="Y1520">
        <v>2.73</v>
      </c>
      <c r="Z1520">
        <v>0.57999999999999996</v>
      </c>
      <c r="AA1520">
        <v>6.14</v>
      </c>
      <c r="AB1520">
        <v>0.7</v>
      </c>
      <c r="AC1520">
        <v>4.58</v>
      </c>
      <c r="AD1520">
        <v>4.71</v>
      </c>
      <c r="AE1520">
        <v>2.37</v>
      </c>
      <c r="AF1520">
        <v>3.18</v>
      </c>
      <c r="AG1520" t="str">
        <f>HYPERLINK("https://finance.naver.com/item/fchart.naver?code=123410", "코리아에프티 차트보기")</f>
        <v>코리아에프티 차트보기</v>
      </c>
    </row>
    <row r="1521" spans="1:33" x14ac:dyDescent="0.3">
      <c r="A1521" t="s">
        <v>6111</v>
      </c>
      <c r="B1521" t="s">
        <v>55</v>
      </c>
      <c r="C1521" t="s">
        <v>6112</v>
      </c>
      <c r="D1521">
        <v>1321358.57</v>
      </c>
      <c r="E1521" t="s">
        <v>6113</v>
      </c>
      <c r="F1521">
        <v>27.76</v>
      </c>
      <c r="G1521">
        <v>1.7699999809265139</v>
      </c>
      <c r="H1521">
        <v>361</v>
      </c>
      <c r="I1521">
        <v>2</v>
      </c>
      <c r="J1521" t="s">
        <v>6114</v>
      </c>
      <c r="K1521">
        <v>13255</v>
      </c>
      <c r="L1521">
        <v>10020</v>
      </c>
      <c r="M1521">
        <v>-24.41</v>
      </c>
      <c r="N1521">
        <v>19.14</v>
      </c>
      <c r="O1521">
        <v>-3.42</v>
      </c>
      <c r="P1521">
        <v>27.47</v>
      </c>
      <c r="Q1521">
        <v>-1.42</v>
      </c>
      <c r="R1521">
        <v>-19.66</v>
      </c>
      <c r="S1521">
        <v>-21.73</v>
      </c>
      <c r="T1521">
        <v>3.98</v>
      </c>
      <c r="U1521">
        <v>5</v>
      </c>
      <c r="V1521">
        <v>6.77</v>
      </c>
      <c r="W1521">
        <v>6.83</v>
      </c>
      <c r="X1521">
        <v>3.3</v>
      </c>
      <c r="Y1521">
        <v>6.42</v>
      </c>
      <c r="Z1521">
        <v>4.8099999999999996</v>
      </c>
      <c r="AA1521">
        <v>0.68</v>
      </c>
      <c r="AB1521">
        <v>4.0599999999999996</v>
      </c>
      <c r="AC1521">
        <v>0.21</v>
      </c>
      <c r="AD1521">
        <v>5.96</v>
      </c>
      <c r="AE1521">
        <v>3.38</v>
      </c>
      <c r="AF1521">
        <v>3.1833333333333331</v>
      </c>
      <c r="AG1521" t="str">
        <f>HYPERLINK("https://finance.naver.com/item/fchart.naver?code=199820", "제일일렉트릭 차트보기")</f>
        <v>제일일렉트릭 차트보기</v>
      </c>
    </row>
    <row r="1522" spans="1:33" x14ac:dyDescent="0.3">
      <c r="A1522" t="s">
        <v>6115</v>
      </c>
      <c r="B1522" t="s">
        <v>55</v>
      </c>
      <c r="C1522" t="s">
        <v>6116</v>
      </c>
      <c r="D1522">
        <v>9171.81</v>
      </c>
      <c r="E1522" t="s">
        <v>6117</v>
      </c>
      <c r="F1522">
        <v>7.91</v>
      </c>
      <c r="G1522">
        <v>0.1800000071525574</v>
      </c>
      <c r="H1522">
        <v>519</v>
      </c>
      <c r="I1522">
        <v>3.1700000762939449</v>
      </c>
      <c r="J1522" t="s">
        <v>6118</v>
      </c>
      <c r="K1522">
        <v>4650</v>
      </c>
      <c r="L1522">
        <v>4105</v>
      </c>
      <c r="M1522">
        <v>-11.72</v>
      </c>
      <c r="N1522">
        <v>-3.75</v>
      </c>
      <c r="O1522">
        <v>-4.3099999999999996</v>
      </c>
      <c r="P1522">
        <v>-3.6</v>
      </c>
      <c r="Q1522">
        <v>3.66</v>
      </c>
      <c r="R1522">
        <v>5.36</v>
      </c>
      <c r="S1522">
        <v>-4</v>
      </c>
      <c r="T1522">
        <v>1.05</v>
      </c>
      <c r="U1522">
        <v>1.05</v>
      </c>
      <c r="V1522">
        <v>1.47</v>
      </c>
      <c r="W1522">
        <v>2.86</v>
      </c>
      <c r="X1522">
        <v>1.52</v>
      </c>
      <c r="Y1522">
        <v>0.96</v>
      </c>
      <c r="Z1522">
        <v>3.57</v>
      </c>
      <c r="AA1522">
        <v>4.0999999999999996</v>
      </c>
      <c r="AB1522">
        <v>2.4500000000000002</v>
      </c>
      <c r="AC1522">
        <v>1.28</v>
      </c>
      <c r="AD1522">
        <v>3.53</v>
      </c>
      <c r="AE1522">
        <v>4.17</v>
      </c>
      <c r="AF1522">
        <v>3.183333333333334</v>
      </c>
      <c r="AG1522" t="str">
        <f>HYPERLINK("https://finance.naver.com/item/fchart.naver?code=021320", "KCC건설 차트보기")</f>
        <v>KCC건설 차트보기</v>
      </c>
    </row>
    <row r="1523" spans="1:33" x14ac:dyDescent="0.3">
      <c r="A1523" t="s">
        <v>6119</v>
      </c>
      <c r="B1523" t="s">
        <v>55</v>
      </c>
      <c r="C1523" t="s">
        <v>6120</v>
      </c>
      <c r="D1523">
        <v>167708.38</v>
      </c>
      <c r="E1523" t="s">
        <v>6121</v>
      </c>
      <c r="F1523">
        <v>0</v>
      </c>
      <c r="G1523">
        <v>3.3900001049041748</v>
      </c>
      <c r="H1523">
        <v>0</v>
      </c>
      <c r="I1523">
        <v>0</v>
      </c>
      <c r="J1523" t="s">
        <v>6122</v>
      </c>
      <c r="K1523">
        <v>5780</v>
      </c>
      <c r="L1523">
        <v>3220</v>
      </c>
      <c r="M1523">
        <v>-44.29</v>
      </c>
      <c r="N1523">
        <v>-6.26</v>
      </c>
      <c r="O1523">
        <v>-12.12</v>
      </c>
      <c r="P1523">
        <v>-3.58</v>
      </c>
      <c r="Q1523">
        <v>-9.09</v>
      </c>
      <c r="R1523">
        <v>-0.32</v>
      </c>
      <c r="S1523">
        <v>-15.29</v>
      </c>
      <c r="T1523">
        <v>2.16</v>
      </c>
      <c r="U1523">
        <v>1.68</v>
      </c>
      <c r="V1523">
        <v>3.86</v>
      </c>
      <c r="W1523">
        <v>5.49</v>
      </c>
      <c r="X1523">
        <v>2.5099999999999998</v>
      </c>
      <c r="Y1523">
        <v>2.44</v>
      </c>
      <c r="Z1523">
        <v>2.9</v>
      </c>
      <c r="AA1523">
        <v>7.21</v>
      </c>
      <c r="AB1523">
        <v>0.93</v>
      </c>
      <c r="AC1523">
        <v>1.66</v>
      </c>
      <c r="AD1523">
        <v>0.13</v>
      </c>
      <c r="AE1523">
        <v>6.27</v>
      </c>
      <c r="AF1523">
        <v>3.183333333333334</v>
      </c>
      <c r="AG1523" t="str">
        <f>HYPERLINK("https://finance.naver.com/item/fchart.naver?code=068100", "케이웨더 차트보기")</f>
        <v>케이웨더 차트보기</v>
      </c>
    </row>
    <row r="1524" spans="1:33" x14ac:dyDescent="0.3">
      <c r="A1524" t="s">
        <v>6123</v>
      </c>
      <c r="B1524" t="s">
        <v>34</v>
      </c>
      <c r="C1524" t="s">
        <v>6124</v>
      </c>
      <c r="D1524">
        <v>98562.76</v>
      </c>
      <c r="E1524" t="s">
        <v>6125</v>
      </c>
      <c r="F1524">
        <v>7.97</v>
      </c>
      <c r="G1524">
        <v>0.1800000071525574</v>
      </c>
      <c r="H1524">
        <v>95</v>
      </c>
      <c r="I1524">
        <v>5.2800002098083496</v>
      </c>
      <c r="J1524" t="s">
        <v>6126</v>
      </c>
      <c r="K1524">
        <v>914</v>
      </c>
      <c r="L1524">
        <v>757</v>
      </c>
      <c r="M1524">
        <v>-17.18</v>
      </c>
      <c r="N1524">
        <v>-1.69</v>
      </c>
      <c r="O1524">
        <v>-4.75</v>
      </c>
      <c r="P1524">
        <v>-1.1100000000000001</v>
      </c>
      <c r="Q1524">
        <v>-3.1</v>
      </c>
      <c r="R1524">
        <v>-3.65</v>
      </c>
      <c r="S1524">
        <v>-2.88</v>
      </c>
      <c r="T1524">
        <v>0.6</v>
      </c>
      <c r="U1524">
        <v>0.93</v>
      </c>
      <c r="V1524">
        <v>1.54</v>
      </c>
      <c r="W1524">
        <v>2.58</v>
      </c>
      <c r="X1524">
        <v>0.79</v>
      </c>
      <c r="Y1524">
        <v>0.62</v>
      </c>
      <c r="Z1524">
        <v>2.82</v>
      </c>
      <c r="AA1524">
        <v>5.1100000000000003</v>
      </c>
      <c r="AB1524">
        <v>0.72</v>
      </c>
      <c r="AC1524">
        <v>1.2</v>
      </c>
      <c r="AD1524">
        <v>4.62</v>
      </c>
      <c r="AE1524">
        <v>4.6500000000000004</v>
      </c>
      <c r="AF1524">
        <v>3.1866666666666661</v>
      </c>
      <c r="AG1524" t="str">
        <f>HYPERLINK("https://finance.naver.com/item/fchart.naver?code=001520", "동양 차트보기")</f>
        <v>동양 차트보기</v>
      </c>
    </row>
    <row r="1525" spans="1:33" x14ac:dyDescent="0.3">
      <c r="A1525" t="s">
        <v>6127</v>
      </c>
      <c r="B1525" t="s">
        <v>34</v>
      </c>
      <c r="C1525" t="s">
        <v>6128</v>
      </c>
      <c r="D1525">
        <v>71123.67</v>
      </c>
      <c r="E1525" t="s">
        <v>6129</v>
      </c>
      <c r="F1525">
        <v>2.2200000000000002</v>
      </c>
      <c r="G1525">
        <v>0.31999999284744263</v>
      </c>
      <c r="H1525">
        <v>1549</v>
      </c>
      <c r="I1525">
        <v>2.910000085830688</v>
      </c>
      <c r="J1525" t="s">
        <v>6130</v>
      </c>
      <c r="K1525">
        <v>5030</v>
      </c>
      <c r="L1525">
        <v>3440</v>
      </c>
      <c r="M1525">
        <v>-31.61</v>
      </c>
      <c r="N1525">
        <v>-3.78</v>
      </c>
      <c r="O1525">
        <v>-5.52</v>
      </c>
      <c r="P1525">
        <v>-0.13</v>
      </c>
      <c r="Q1525">
        <v>-6.55</v>
      </c>
      <c r="R1525">
        <v>-20.67</v>
      </c>
      <c r="S1525">
        <v>10.71</v>
      </c>
      <c r="T1525">
        <v>1.98</v>
      </c>
      <c r="U1525">
        <v>1.89</v>
      </c>
      <c r="V1525">
        <v>2.66</v>
      </c>
      <c r="W1525">
        <v>4.04</v>
      </c>
      <c r="X1525">
        <v>2.08</v>
      </c>
      <c r="Y1525">
        <v>3.98</v>
      </c>
      <c r="Z1525">
        <v>1.91</v>
      </c>
      <c r="AA1525">
        <v>2.92</v>
      </c>
      <c r="AB1525">
        <v>0.05</v>
      </c>
      <c r="AC1525">
        <v>1.62</v>
      </c>
      <c r="AD1525">
        <v>9.94</v>
      </c>
      <c r="AE1525">
        <v>2.69</v>
      </c>
      <c r="AF1525">
        <v>3.188333333333333</v>
      </c>
      <c r="AG1525" t="str">
        <f>HYPERLINK("https://finance.naver.com/item/fchart.naver?code=010100", "한국무브넥스 차트보기")</f>
        <v>한국무브넥스 차트보기</v>
      </c>
    </row>
    <row r="1526" spans="1:33" x14ac:dyDescent="0.3">
      <c r="A1526" t="s">
        <v>6131</v>
      </c>
      <c r="B1526" t="s">
        <v>55</v>
      </c>
      <c r="C1526" t="s">
        <v>6132</v>
      </c>
      <c r="D1526">
        <v>248550.71</v>
      </c>
      <c r="E1526" t="s">
        <v>6133</v>
      </c>
      <c r="F1526">
        <v>14.89</v>
      </c>
      <c r="G1526">
        <v>0.95999997854232788</v>
      </c>
      <c r="H1526">
        <v>141</v>
      </c>
      <c r="I1526">
        <v>2.380000114440918</v>
      </c>
      <c r="J1526" t="s">
        <v>6134</v>
      </c>
      <c r="K1526">
        <v>2905</v>
      </c>
      <c r="L1526">
        <v>2100</v>
      </c>
      <c r="M1526">
        <v>-27.71</v>
      </c>
      <c r="N1526">
        <v>6.33</v>
      </c>
      <c r="O1526">
        <v>2.27</v>
      </c>
      <c r="P1526">
        <v>-6.92</v>
      </c>
      <c r="Q1526">
        <v>-14.74</v>
      </c>
      <c r="R1526">
        <v>-21.61</v>
      </c>
      <c r="S1526">
        <v>6.77</v>
      </c>
      <c r="T1526">
        <v>2.16</v>
      </c>
      <c r="U1526">
        <v>1.26</v>
      </c>
      <c r="V1526">
        <v>2.31</v>
      </c>
      <c r="W1526">
        <v>3.63</v>
      </c>
      <c r="X1526">
        <v>3.88</v>
      </c>
      <c r="Y1526">
        <v>3.83</v>
      </c>
      <c r="Z1526">
        <v>2.93</v>
      </c>
      <c r="AA1526">
        <v>1.8</v>
      </c>
      <c r="AB1526">
        <v>3</v>
      </c>
      <c r="AC1526">
        <v>4.0599999999999996</v>
      </c>
      <c r="AD1526">
        <v>5.57</v>
      </c>
      <c r="AE1526">
        <v>1.77</v>
      </c>
      <c r="AF1526">
        <v>3.188333333333333</v>
      </c>
      <c r="AG1526" t="str">
        <f>HYPERLINK("https://finance.naver.com/item/fchart.naver?code=027360", "아주IB투자 차트보기")</f>
        <v>아주IB투자 차트보기</v>
      </c>
    </row>
    <row r="1527" spans="1:33" x14ac:dyDescent="0.3">
      <c r="A1527" t="s">
        <v>6135</v>
      </c>
      <c r="B1527" t="s">
        <v>34</v>
      </c>
      <c r="C1527" t="s">
        <v>6136</v>
      </c>
      <c r="D1527">
        <v>87538.57</v>
      </c>
      <c r="E1527" t="s">
        <v>6137</v>
      </c>
      <c r="F1527">
        <v>236.59</v>
      </c>
      <c r="G1527">
        <v>1.2899999618530269</v>
      </c>
      <c r="H1527">
        <v>164</v>
      </c>
      <c r="I1527">
        <v>0.63999998569488525</v>
      </c>
      <c r="J1527" t="s">
        <v>6138</v>
      </c>
      <c r="K1527">
        <v>24450</v>
      </c>
      <c r="L1527">
        <v>38800</v>
      </c>
      <c r="M1527">
        <v>58.69</v>
      </c>
      <c r="N1527">
        <v>-0.39</v>
      </c>
      <c r="O1527">
        <v>6.61</v>
      </c>
      <c r="P1527">
        <v>18.059999999999999</v>
      </c>
      <c r="Q1527">
        <v>4.33</v>
      </c>
      <c r="R1527">
        <v>2.08</v>
      </c>
      <c r="S1527">
        <v>13.66</v>
      </c>
      <c r="T1527">
        <v>0.89</v>
      </c>
      <c r="U1527">
        <v>1.67</v>
      </c>
      <c r="V1527">
        <v>3.55</v>
      </c>
      <c r="W1527">
        <v>3.52</v>
      </c>
      <c r="X1527">
        <v>1.59</v>
      </c>
      <c r="Y1527">
        <v>1.92</v>
      </c>
      <c r="Z1527">
        <v>0.44</v>
      </c>
      <c r="AA1527">
        <v>3.96</v>
      </c>
      <c r="AB1527">
        <v>5.09</v>
      </c>
      <c r="AC1527">
        <v>1.23</v>
      </c>
      <c r="AD1527">
        <v>1.31</v>
      </c>
      <c r="AE1527">
        <v>7.11</v>
      </c>
      <c r="AF1527">
        <v>3.19</v>
      </c>
      <c r="AG1527" t="str">
        <f>HYPERLINK("https://finance.naver.com/item/fchart.naver?code=001530", "DI동일 차트보기")</f>
        <v>DI동일 차트보기</v>
      </c>
    </row>
    <row r="1528" spans="1:33" x14ac:dyDescent="0.3">
      <c r="A1528" t="s">
        <v>6139</v>
      </c>
      <c r="B1528" t="s">
        <v>55</v>
      </c>
      <c r="C1528" t="s">
        <v>6140</v>
      </c>
      <c r="D1528">
        <v>755949.38</v>
      </c>
      <c r="E1528" t="s">
        <v>6141</v>
      </c>
      <c r="F1528">
        <v>0</v>
      </c>
      <c r="G1528">
        <v>2.7100000381469731</v>
      </c>
      <c r="H1528">
        <v>0</v>
      </c>
      <c r="I1528">
        <v>0</v>
      </c>
      <c r="J1528" t="s">
        <v>6142</v>
      </c>
      <c r="K1528">
        <v>7750</v>
      </c>
      <c r="L1528">
        <v>6280</v>
      </c>
      <c r="M1528">
        <v>-18.97</v>
      </c>
      <c r="N1528">
        <v>-4.5599999999999996</v>
      </c>
      <c r="O1528">
        <v>6.88</v>
      </c>
      <c r="P1528">
        <v>-5.76</v>
      </c>
      <c r="Q1528">
        <v>-11.56</v>
      </c>
      <c r="R1528">
        <v>15.51</v>
      </c>
      <c r="S1528">
        <v>-13.65</v>
      </c>
      <c r="T1528">
        <v>2.4300000000000002</v>
      </c>
      <c r="U1528">
        <v>4.87</v>
      </c>
      <c r="V1528">
        <v>2.29</v>
      </c>
      <c r="W1528">
        <v>4.7300000000000004</v>
      </c>
      <c r="X1528">
        <v>5.42</v>
      </c>
      <c r="Y1528">
        <v>1.7</v>
      </c>
      <c r="Z1528">
        <v>1.88</v>
      </c>
      <c r="AA1528">
        <v>1.41</v>
      </c>
      <c r="AB1528">
        <v>2.52</v>
      </c>
      <c r="AC1528">
        <v>2.44</v>
      </c>
      <c r="AD1528">
        <v>2.86</v>
      </c>
      <c r="AE1528">
        <v>8.0299999999999994</v>
      </c>
      <c r="AF1528">
        <v>3.19</v>
      </c>
      <c r="AG1528" t="str">
        <f>HYPERLINK("https://finance.naver.com/item/fchart.naver?code=348150", "고바이오랩 차트보기")</f>
        <v>고바이오랩 차트보기</v>
      </c>
    </row>
    <row r="1529" spans="1:33" x14ac:dyDescent="0.3">
      <c r="A1529" t="s">
        <v>6143</v>
      </c>
      <c r="B1529" t="s">
        <v>55</v>
      </c>
      <c r="C1529" t="s">
        <v>6144</v>
      </c>
      <c r="D1529">
        <v>132628.24</v>
      </c>
      <c r="E1529" t="s">
        <v>6145</v>
      </c>
      <c r="F1529">
        <v>0</v>
      </c>
      <c r="G1529">
        <v>2.6700000762939449</v>
      </c>
      <c r="H1529">
        <v>0</v>
      </c>
      <c r="I1529">
        <v>0</v>
      </c>
      <c r="J1529" t="s">
        <v>6146</v>
      </c>
      <c r="K1529">
        <v>2820</v>
      </c>
      <c r="L1529">
        <v>3755</v>
      </c>
      <c r="M1529">
        <v>33.159999999999997</v>
      </c>
      <c r="N1529">
        <v>7.59</v>
      </c>
      <c r="O1529">
        <v>18.93</v>
      </c>
      <c r="P1529">
        <v>-9.3699999999999992</v>
      </c>
      <c r="Q1529">
        <v>-11.13</v>
      </c>
      <c r="R1529">
        <v>18.63</v>
      </c>
      <c r="S1529">
        <v>0.39</v>
      </c>
      <c r="T1529">
        <v>3.76</v>
      </c>
      <c r="U1529">
        <v>4.4400000000000004</v>
      </c>
      <c r="V1529">
        <v>2.2200000000000002</v>
      </c>
      <c r="W1529">
        <v>3.86</v>
      </c>
      <c r="X1529">
        <v>3.29</v>
      </c>
      <c r="Y1529">
        <v>3.64</v>
      </c>
      <c r="Z1529">
        <v>2.02</v>
      </c>
      <c r="AA1529">
        <v>4.26</v>
      </c>
      <c r="AB1529">
        <v>4.22</v>
      </c>
      <c r="AC1529">
        <v>2.88</v>
      </c>
      <c r="AD1529">
        <v>5.66</v>
      </c>
      <c r="AE1529">
        <v>0.11</v>
      </c>
      <c r="AF1529">
        <v>3.191666666666666</v>
      </c>
      <c r="AG1529" t="str">
        <f>HYPERLINK("https://finance.naver.com/item/fchart.naver?code=127120", "디엔에이링크 차트보기")</f>
        <v>디엔에이링크 차트보기</v>
      </c>
    </row>
    <row r="1530" spans="1:33" x14ac:dyDescent="0.3">
      <c r="A1530" t="s">
        <v>6147</v>
      </c>
      <c r="B1530" t="s">
        <v>34</v>
      </c>
      <c r="C1530" t="s">
        <v>6148</v>
      </c>
      <c r="D1530">
        <v>1052415.19</v>
      </c>
      <c r="E1530" t="s">
        <v>6149</v>
      </c>
      <c r="F1530">
        <v>12.42</v>
      </c>
      <c r="G1530">
        <v>1.3999999761581421</v>
      </c>
      <c r="H1530">
        <v>250</v>
      </c>
      <c r="I1530">
        <v>4.8299999237060547</v>
      </c>
      <c r="J1530" t="s">
        <v>6150</v>
      </c>
      <c r="K1530">
        <v>3855</v>
      </c>
      <c r="L1530">
        <v>3105</v>
      </c>
      <c r="M1530">
        <v>-19.46</v>
      </c>
      <c r="N1530">
        <v>-20.38</v>
      </c>
      <c r="O1530">
        <v>26.7</v>
      </c>
      <c r="P1530">
        <v>0.32</v>
      </c>
      <c r="Q1530">
        <v>1.1100000000000001</v>
      </c>
      <c r="R1530">
        <v>-6.95</v>
      </c>
      <c r="S1530">
        <v>-19.95</v>
      </c>
      <c r="T1530">
        <v>7.11</v>
      </c>
      <c r="U1530">
        <v>3.38</v>
      </c>
      <c r="V1530">
        <v>1.85</v>
      </c>
      <c r="W1530">
        <v>7.25</v>
      </c>
      <c r="X1530">
        <v>1.26</v>
      </c>
      <c r="Y1530">
        <v>7.84</v>
      </c>
      <c r="Z1530">
        <v>2.87</v>
      </c>
      <c r="AA1530">
        <v>7.9</v>
      </c>
      <c r="AB1530">
        <v>0.17</v>
      </c>
      <c r="AC1530">
        <v>0.15</v>
      </c>
      <c r="AD1530">
        <v>5.52</v>
      </c>
      <c r="AE1530">
        <v>2.54</v>
      </c>
      <c r="AF1530">
        <v>3.191666666666666</v>
      </c>
      <c r="AG1530" t="str">
        <f>HYPERLINK("https://finance.naver.com/item/fchart.naver?code=012690", "모나리자 차트보기")</f>
        <v>모나리자 차트보기</v>
      </c>
    </row>
    <row r="1531" spans="1:33" x14ac:dyDescent="0.3">
      <c r="A1531" t="s">
        <v>6151</v>
      </c>
      <c r="B1531" t="s">
        <v>55</v>
      </c>
      <c r="C1531" t="s">
        <v>6152</v>
      </c>
      <c r="D1531">
        <v>813824.14</v>
      </c>
      <c r="E1531" t="s">
        <v>6153</v>
      </c>
      <c r="F1531">
        <v>0</v>
      </c>
      <c r="G1531">
        <v>0.79000002145767212</v>
      </c>
      <c r="H1531">
        <v>0</v>
      </c>
      <c r="I1531">
        <v>0</v>
      </c>
      <c r="J1531" t="s">
        <v>6154</v>
      </c>
      <c r="K1531">
        <v>5680</v>
      </c>
      <c r="L1531">
        <v>5840</v>
      </c>
      <c r="M1531">
        <v>2.82</v>
      </c>
      <c r="N1531">
        <v>-7.3</v>
      </c>
      <c r="O1531">
        <v>8.2799999999999994</v>
      </c>
      <c r="P1531">
        <v>-5.67</v>
      </c>
      <c r="Q1531">
        <v>6.76</v>
      </c>
      <c r="R1531">
        <v>24.81</v>
      </c>
      <c r="S1531">
        <v>-7.04</v>
      </c>
      <c r="T1531">
        <v>1.7</v>
      </c>
      <c r="U1531">
        <v>3.69</v>
      </c>
      <c r="V1531">
        <v>2.5</v>
      </c>
      <c r="W1531">
        <v>9.36</v>
      </c>
      <c r="X1531">
        <v>4.42</v>
      </c>
      <c r="Y1531">
        <v>1.75</v>
      </c>
      <c r="Z1531">
        <v>4.29</v>
      </c>
      <c r="AA1531">
        <v>2.2400000000000002</v>
      </c>
      <c r="AB1531">
        <v>2.27</v>
      </c>
      <c r="AC1531">
        <v>0.72</v>
      </c>
      <c r="AD1531">
        <v>5.61</v>
      </c>
      <c r="AE1531">
        <v>4.0199999999999996</v>
      </c>
      <c r="AF1531">
        <v>3.1916666666666669</v>
      </c>
      <c r="AG1531" t="str">
        <f>HYPERLINK("https://finance.naver.com/item/fchart.naver?code=253840", "수젠텍 차트보기")</f>
        <v>수젠텍 차트보기</v>
      </c>
    </row>
    <row r="1532" spans="1:33" x14ac:dyDescent="0.3">
      <c r="A1532" t="s">
        <v>6155</v>
      </c>
      <c r="B1532" t="s">
        <v>34</v>
      </c>
      <c r="C1532" t="s">
        <v>6156</v>
      </c>
      <c r="D1532">
        <v>2100.38</v>
      </c>
      <c r="E1532" t="s">
        <v>6157</v>
      </c>
      <c r="F1532">
        <v>0</v>
      </c>
      <c r="G1532">
        <v>0</v>
      </c>
      <c r="H1532">
        <v>0</v>
      </c>
      <c r="I1532">
        <v>1.940000057220459</v>
      </c>
      <c r="J1532" t="s">
        <v>6158</v>
      </c>
      <c r="K1532">
        <v>81500</v>
      </c>
      <c r="L1532">
        <v>103300</v>
      </c>
      <c r="M1532">
        <v>26.75</v>
      </c>
      <c r="N1532">
        <v>8.0500000000000007</v>
      </c>
      <c r="O1532">
        <v>25.16</v>
      </c>
      <c r="P1532">
        <v>6.56</v>
      </c>
      <c r="Q1532">
        <v>-16.04</v>
      </c>
      <c r="R1532">
        <v>10.42</v>
      </c>
      <c r="S1532">
        <v>-1.03</v>
      </c>
      <c r="T1532">
        <v>3.49</v>
      </c>
      <c r="U1532">
        <v>3.19</v>
      </c>
      <c r="V1532">
        <v>2.5099999999999998</v>
      </c>
      <c r="W1532">
        <v>3.69</v>
      </c>
      <c r="X1532">
        <v>6.67</v>
      </c>
      <c r="Y1532">
        <v>2.31</v>
      </c>
      <c r="Z1532">
        <v>2.31</v>
      </c>
      <c r="AA1532">
        <v>7.89</v>
      </c>
      <c r="AB1532">
        <v>2.61</v>
      </c>
      <c r="AC1532">
        <v>4.3499999999999996</v>
      </c>
      <c r="AD1532">
        <v>1.56</v>
      </c>
      <c r="AE1532">
        <v>0.45</v>
      </c>
      <c r="AF1532">
        <v>3.194999999999999</v>
      </c>
      <c r="AG1532" t="str">
        <f>HYPERLINK("https://finance.naver.com/item/fchart.naver?code=000157", "두산2우B 차트보기")</f>
        <v>두산2우B 차트보기</v>
      </c>
    </row>
    <row r="1533" spans="1:33" x14ac:dyDescent="0.3">
      <c r="A1533" t="s">
        <v>6159</v>
      </c>
      <c r="B1533" t="s">
        <v>55</v>
      </c>
      <c r="C1533" t="s">
        <v>6160</v>
      </c>
      <c r="D1533">
        <v>148477.9</v>
      </c>
      <c r="E1533" t="s">
        <v>6161</v>
      </c>
      <c r="F1533">
        <v>0</v>
      </c>
      <c r="G1533">
        <v>1.570000052452087</v>
      </c>
      <c r="H1533">
        <v>0</v>
      </c>
      <c r="I1533">
        <v>0</v>
      </c>
      <c r="J1533" t="s">
        <v>6162</v>
      </c>
      <c r="K1533">
        <v>3530</v>
      </c>
      <c r="L1533">
        <v>2245</v>
      </c>
      <c r="M1533">
        <v>-36.4</v>
      </c>
      <c r="N1533">
        <v>1.58</v>
      </c>
      <c r="O1533">
        <v>-7.14</v>
      </c>
      <c r="P1533">
        <v>-18.75</v>
      </c>
      <c r="Q1533">
        <v>-14.8</v>
      </c>
      <c r="R1533">
        <v>7.14</v>
      </c>
      <c r="S1533">
        <v>-6.29</v>
      </c>
      <c r="T1533">
        <v>2.39</v>
      </c>
      <c r="U1533">
        <v>4.6900000000000004</v>
      </c>
      <c r="V1533">
        <v>1.59</v>
      </c>
      <c r="W1533">
        <v>5.3</v>
      </c>
      <c r="X1533">
        <v>5.0999999999999996</v>
      </c>
      <c r="Y1533">
        <v>6.24</v>
      </c>
      <c r="Z1533">
        <v>0.66</v>
      </c>
      <c r="AA1533">
        <v>1.52</v>
      </c>
      <c r="AB1533">
        <v>11.79</v>
      </c>
      <c r="AC1533">
        <v>2.79</v>
      </c>
      <c r="AD1533">
        <v>1.4</v>
      </c>
      <c r="AE1533">
        <v>1.01</v>
      </c>
      <c r="AF1533">
        <v>3.1949999999999998</v>
      </c>
      <c r="AG1533" t="str">
        <f>HYPERLINK("https://finance.naver.com/item/fchart.naver?code=223310", "딥마인드 차트보기")</f>
        <v>딥마인드 차트보기</v>
      </c>
    </row>
    <row r="1534" spans="1:33" x14ac:dyDescent="0.3">
      <c r="A1534" t="s">
        <v>6163</v>
      </c>
      <c r="B1534" t="s">
        <v>55</v>
      </c>
      <c r="C1534" t="s">
        <v>6164</v>
      </c>
      <c r="D1534">
        <v>311584.33</v>
      </c>
      <c r="E1534" t="s">
        <v>6165</v>
      </c>
      <c r="F1534">
        <v>49.29</v>
      </c>
      <c r="G1534">
        <v>0.9100000262260437</v>
      </c>
      <c r="H1534">
        <v>14</v>
      </c>
      <c r="I1534">
        <v>0</v>
      </c>
      <c r="J1534" t="s">
        <v>6166</v>
      </c>
      <c r="K1534">
        <v>690</v>
      </c>
      <c r="L1534">
        <v>690</v>
      </c>
      <c r="M1534">
        <v>0</v>
      </c>
      <c r="N1534">
        <v>0.15</v>
      </c>
      <c r="O1534">
        <v>15.51</v>
      </c>
      <c r="P1534">
        <v>-5.81</v>
      </c>
      <c r="Q1534">
        <v>-2.9</v>
      </c>
      <c r="R1534">
        <v>2.39</v>
      </c>
      <c r="S1534">
        <v>-12.84</v>
      </c>
      <c r="T1534">
        <v>2.06</v>
      </c>
      <c r="U1534">
        <v>1.96</v>
      </c>
      <c r="V1534">
        <v>1.79</v>
      </c>
      <c r="W1534">
        <v>3.12</v>
      </c>
      <c r="X1534">
        <v>1.59</v>
      </c>
      <c r="Y1534">
        <v>2.33</v>
      </c>
      <c r="Z1534">
        <v>7.0000000000000007E-2</v>
      </c>
      <c r="AA1534">
        <v>7.91</v>
      </c>
      <c r="AB1534">
        <v>3.25</v>
      </c>
      <c r="AC1534">
        <v>0.93</v>
      </c>
      <c r="AD1534">
        <v>1.5</v>
      </c>
      <c r="AE1534">
        <v>5.51</v>
      </c>
      <c r="AF1534">
        <v>3.1949999999999998</v>
      </c>
      <c r="AG1534" t="str">
        <f>HYPERLINK("https://finance.naver.com/item/fchart.naver?code=049630", "재영솔루텍 차트보기")</f>
        <v>재영솔루텍 차트보기</v>
      </c>
    </row>
    <row r="1535" spans="1:33" x14ac:dyDescent="0.3">
      <c r="A1535" t="s">
        <v>6167</v>
      </c>
      <c r="B1535" t="s">
        <v>55</v>
      </c>
      <c r="C1535" t="s">
        <v>6168</v>
      </c>
      <c r="D1535">
        <v>40145.81</v>
      </c>
      <c r="E1535" t="s">
        <v>6169</v>
      </c>
      <c r="F1535">
        <v>11.78</v>
      </c>
      <c r="G1535">
        <v>0.64999997615814209</v>
      </c>
      <c r="H1535">
        <v>630</v>
      </c>
      <c r="I1535">
        <v>0</v>
      </c>
      <c r="J1535" t="s">
        <v>6170</v>
      </c>
      <c r="K1535">
        <v>10590</v>
      </c>
      <c r="L1535">
        <v>7420</v>
      </c>
      <c r="M1535">
        <v>-29.93</v>
      </c>
      <c r="N1535">
        <v>-10.17</v>
      </c>
      <c r="O1535">
        <v>-3.92</v>
      </c>
      <c r="P1535">
        <v>3.49</v>
      </c>
      <c r="Q1535">
        <v>4.93</v>
      </c>
      <c r="R1535">
        <v>-11.61</v>
      </c>
      <c r="S1535">
        <v>-16.25</v>
      </c>
      <c r="T1535">
        <v>2.1</v>
      </c>
      <c r="U1535">
        <v>2.96</v>
      </c>
      <c r="V1535">
        <v>3.22</v>
      </c>
      <c r="W1535">
        <v>5.9</v>
      </c>
      <c r="X1535">
        <v>4.93</v>
      </c>
      <c r="Y1535">
        <v>1.86</v>
      </c>
      <c r="Z1535">
        <v>4.84</v>
      </c>
      <c r="AA1535">
        <v>1.32</v>
      </c>
      <c r="AB1535">
        <v>1.08</v>
      </c>
      <c r="AC1535">
        <v>0.84</v>
      </c>
      <c r="AD1535">
        <v>2.35</v>
      </c>
      <c r="AE1535">
        <v>8.74</v>
      </c>
      <c r="AF1535">
        <v>3.1949999999999998</v>
      </c>
      <c r="AG1535" t="str">
        <f>HYPERLINK("https://finance.naver.com/item/fchart.naver?code=348350", "위드텍 차트보기")</f>
        <v>위드텍 차트보기</v>
      </c>
    </row>
    <row r="1536" spans="1:33" x14ac:dyDescent="0.3">
      <c r="A1536" t="s">
        <v>6171</v>
      </c>
      <c r="B1536" t="s">
        <v>34</v>
      </c>
      <c r="C1536" t="s">
        <v>6172</v>
      </c>
      <c r="D1536">
        <v>2154.2399999999998</v>
      </c>
      <c r="E1536" t="s">
        <v>6173</v>
      </c>
      <c r="F1536">
        <v>4.49</v>
      </c>
      <c r="G1536">
        <v>0.38999998569488531</v>
      </c>
      <c r="H1536">
        <v>17818</v>
      </c>
      <c r="I1536">
        <v>5.630000114440918</v>
      </c>
      <c r="J1536" t="s">
        <v>6174</v>
      </c>
      <c r="K1536">
        <v>67900</v>
      </c>
      <c r="L1536">
        <v>80000</v>
      </c>
      <c r="M1536">
        <v>17.82</v>
      </c>
      <c r="N1536">
        <v>-1.84</v>
      </c>
      <c r="O1536">
        <v>4.33</v>
      </c>
      <c r="P1536">
        <v>-3.3</v>
      </c>
      <c r="Q1536">
        <v>12.02</v>
      </c>
      <c r="R1536">
        <v>2.39</v>
      </c>
      <c r="S1536">
        <v>-2.97</v>
      </c>
      <c r="T1536">
        <v>0.59</v>
      </c>
      <c r="U1536">
        <v>1.4</v>
      </c>
      <c r="V1536">
        <v>1.22</v>
      </c>
      <c r="W1536">
        <v>2.3199999999999998</v>
      </c>
      <c r="X1536">
        <v>0.74</v>
      </c>
      <c r="Y1536">
        <v>1.6</v>
      </c>
      <c r="Z1536">
        <v>3.12</v>
      </c>
      <c r="AA1536">
        <v>3.09</v>
      </c>
      <c r="AB1536">
        <v>2.7</v>
      </c>
      <c r="AC1536">
        <v>5.18</v>
      </c>
      <c r="AD1536">
        <v>3.23</v>
      </c>
      <c r="AE1536">
        <v>1.86</v>
      </c>
      <c r="AF1536">
        <v>3.1966666666666672</v>
      </c>
      <c r="AG1536" t="str">
        <f>HYPERLINK("https://finance.naver.com/item/fchart.naver?code=001720", "신영증권 차트보기")</f>
        <v>신영증권 차트보기</v>
      </c>
    </row>
    <row r="1537" spans="1:33" x14ac:dyDescent="0.3">
      <c r="A1537" t="s">
        <v>6175</v>
      </c>
      <c r="B1537" t="s">
        <v>55</v>
      </c>
      <c r="C1537" t="s">
        <v>6176</v>
      </c>
      <c r="D1537">
        <v>192197.67</v>
      </c>
      <c r="E1537" t="s">
        <v>6177</v>
      </c>
      <c r="F1537">
        <v>12.54</v>
      </c>
      <c r="G1537">
        <v>2.1400001049041748</v>
      </c>
      <c r="H1537">
        <v>993</v>
      </c>
      <c r="I1537">
        <v>2.0099999904632568</v>
      </c>
      <c r="J1537" t="s">
        <v>6178</v>
      </c>
      <c r="K1537">
        <v>13230</v>
      </c>
      <c r="L1537">
        <v>12450</v>
      </c>
      <c r="M1537">
        <v>-5.9</v>
      </c>
      <c r="N1537">
        <v>13.39</v>
      </c>
      <c r="O1537">
        <v>-3.84</v>
      </c>
      <c r="P1537">
        <v>-4.43</v>
      </c>
      <c r="Q1537">
        <v>-12</v>
      </c>
      <c r="R1537">
        <v>10.32</v>
      </c>
      <c r="S1537">
        <v>-5.08</v>
      </c>
      <c r="T1537">
        <v>3.63</v>
      </c>
      <c r="U1537">
        <v>1.48</v>
      </c>
      <c r="V1537">
        <v>1.83</v>
      </c>
      <c r="W1537">
        <v>3.67</v>
      </c>
      <c r="X1537">
        <v>2.7</v>
      </c>
      <c r="Y1537">
        <v>1.49</v>
      </c>
      <c r="Z1537">
        <v>3.69</v>
      </c>
      <c r="AA1537">
        <v>2.59</v>
      </c>
      <c r="AB1537">
        <v>2.42</v>
      </c>
      <c r="AC1537">
        <v>3.27</v>
      </c>
      <c r="AD1537">
        <v>3.82</v>
      </c>
      <c r="AE1537">
        <v>3.41</v>
      </c>
      <c r="AF1537">
        <v>3.2</v>
      </c>
      <c r="AG1537" t="str">
        <f>HYPERLINK("https://finance.naver.com/item/fchart.naver?code=033500", "동성화인텍 차트보기")</f>
        <v>동성화인텍 차트보기</v>
      </c>
    </row>
    <row r="1538" spans="1:33" x14ac:dyDescent="0.3">
      <c r="A1538" t="s">
        <v>6179</v>
      </c>
      <c r="B1538" t="s">
        <v>55</v>
      </c>
      <c r="C1538" t="s">
        <v>6180</v>
      </c>
      <c r="D1538">
        <v>158082.23999999999</v>
      </c>
      <c r="E1538" t="s">
        <v>6181</v>
      </c>
      <c r="F1538">
        <v>7.5</v>
      </c>
      <c r="G1538">
        <v>0.75999999046325684</v>
      </c>
      <c r="H1538">
        <v>420</v>
      </c>
      <c r="I1538">
        <v>2.380000114440918</v>
      </c>
      <c r="J1538" t="s">
        <v>6182</v>
      </c>
      <c r="K1538">
        <v>2535</v>
      </c>
      <c r="L1538">
        <v>3150</v>
      </c>
      <c r="M1538">
        <v>24.26</v>
      </c>
      <c r="N1538">
        <v>12.9</v>
      </c>
      <c r="O1538">
        <v>-5.53</v>
      </c>
      <c r="P1538">
        <v>19.260000000000002</v>
      </c>
      <c r="Q1538">
        <v>-7.03</v>
      </c>
      <c r="R1538">
        <v>-1.36</v>
      </c>
      <c r="S1538">
        <v>-5.58</v>
      </c>
      <c r="T1538">
        <v>3.07</v>
      </c>
      <c r="U1538">
        <v>2.8</v>
      </c>
      <c r="V1538">
        <v>4.1500000000000004</v>
      </c>
      <c r="W1538">
        <v>2.52</v>
      </c>
      <c r="X1538">
        <v>0.85</v>
      </c>
      <c r="Y1538">
        <v>1.4</v>
      </c>
      <c r="Z1538">
        <v>4.2</v>
      </c>
      <c r="AA1538">
        <v>1.98</v>
      </c>
      <c r="AB1538">
        <v>4.6399999999999997</v>
      </c>
      <c r="AC1538">
        <v>2.79</v>
      </c>
      <c r="AD1538">
        <v>1.6</v>
      </c>
      <c r="AE1538">
        <v>3.99</v>
      </c>
      <c r="AF1538">
        <v>3.2</v>
      </c>
      <c r="AG1538" t="str">
        <f>HYPERLINK("https://finance.naver.com/item/fchart.naver?code=025880", "케이씨피드 차트보기")</f>
        <v>케이씨피드 차트보기</v>
      </c>
    </row>
    <row r="1539" spans="1:33" x14ac:dyDescent="0.3">
      <c r="A1539" t="s">
        <v>6183</v>
      </c>
      <c r="B1539" t="s">
        <v>34</v>
      </c>
      <c r="C1539" t="s">
        <v>6184</v>
      </c>
      <c r="D1539">
        <v>57382.48</v>
      </c>
      <c r="E1539" t="s">
        <v>6185</v>
      </c>
      <c r="F1539">
        <v>1.96</v>
      </c>
      <c r="G1539">
        <v>0.5</v>
      </c>
      <c r="H1539">
        <v>1579</v>
      </c>
      <c r="I1539">
        <v>1.940000057220459</v>
      </c>
      <c r="J1539" t="s">
        <v>6186</v>
      </c>
      <c r="K1539">
        <v>3600</v>
      </c>
      <c r="L1539">
        <v>3090</v>
      </c>
      <c r="M1539">
        <v>-14.17</v>
      </c>
      <c r="N1539">
        <v>-2.98</v>
      </c>
      <c r="O1539">
        <v>-5.65</v>
      </c>
      <c r="P1539">
        <v>0.74</v>
      </c>
      <c r="Q1539">
        <v>1.05</v>
      </c>
      <c r="R1539">
        <v>-7.78</v>
      </c>
      <c r="S1539">
        <v>2.09</v>
      </c>
      <c r="T1539">
        <v>1.25</v>
      </c>
      <c r="U1539">
        <v>0.72</v>
      </c>
      <c r="V1539">
        <v>1.03</v>
      </c>
      <c r="W1539">
        <v>2.34</v>
      </c>
      <c r="X1539">
        <v>1.19</v>
      </c>
      <c r="Y1539">
        <v>1.66</v>
      </c>
      <c r="Z1539">
        <v>2.38</v>
      </c>
      <c r="AA1539">
        <v>7.85</v>
      </c>
      <c r="AB1539">
        <v>0.72</v>
      </c>
      <c r="AC1539">
        <v>0.45</v>
      </c>
      <c r="AD1539">
        <v>6.54</v>
      </c>
      <c r="AE1539">
        <v>1.26</v>
      </c>
      <c r="AF1539">
        <v>3.2000000000000011</v>
      </c>
      <c r="AG1539" t="str">
        <f>HYPERLINK("https://finance.naver.com/item/fchart.naver?code=019180", "티에이치엔 차트보기")</f>
        <v>티에이치엔 차트보기</v>
      </c>
    </row>
    <row r="1540" spans="1:33" x14ac:dyDescent="0.3">
      <c r="A1540" t="s">
        <v>6187</v>
      </c>
      <c r="B1540" t="s">
        <v>34</v>
      </c>
      <c r="C1540" t="s">
        <v>6188</v>
      </c>
      <c r="D1540">
        <v>46426.81</v>
      </c>
      <c r="E1540" t="s">
        <v>6189</v>
      </c>
      <c r="F1540">
        <v>0</v>
      </c>
      <c r="G1540">
        <v>0.33000001311302191</v>
      </c>
      <c r="H1540">
        <v>0</v>
      </c>
      <c r="I1540">
        <v>3.1700000762939449</v>
      </c>
      <c r="J1540" t="s">
        <v>6190</v>
      </c>
      <c r="K1540">
        <v>24250</v>
      </c>
      <c r="L1540">
        <v>15790</v>
      </c>
      <c r="M1540">
        <v>-34.89</v>
      </c>
      <c r="N1540">
        <v>-4.01</v>
      </c>
      <c r="O1540">
        <v>0.6</v>
      </c>
      <c r="P1540">
        <v>-14.23</v>
      </c>
      <c r="Q1540">
        <v>1.1200000000000001</v>
      </c>
      <c r="R1540">
        <v>-6.42</v>
      </c>
      <c r="S1540">
        <v>-6.11</v>
      </c>
      <c r="T1540">
        <v>1.5</v>
      </c>
      <c r="U1540">
        <v>1.75</v>
      </c>
      <c r="V1540">
        <v>2.23</v>
      </c>
      <c r="W1540">
        <v>3.01</v>
      </c>
      <c r="X1540">
        <v>1.41</v>
      </c>
      <c r="Y1540">
        <v>1.24</v>
      </c>
      <c r="Z1540">
        <v>2.67</v>
      </c>
      <c r="AA1540">
        <v>0.34</v>
      </c>
      <c r="AB1540">
        <v>6.38</v>
      </c>
      <c r="AC1540">
        <v>0.37</v>
      </c>
      <c r="AD1540">
        <v>4.55</v>
      </c>
      <c r="AE1540">
        <v>4.93</v>
      </c>
      <c r="AF1540">
        <v>3.206666666666667</v>
      </c>
      <c r="AG1540" t="str">
        <f>HYPERLINK("https://finance.naver.com/item/fchart.naver?code=181710", "NHN 차트보기")</f>
        <v>NHN 차트보기</v>
      </c>
    </row>
    <row r="1541" spans="1:33" x14ac:dyDescent="0.3">
      <c r="A1541" t="s">
        <v>6191</v>
      </c>
      <c r="B1541" t="s">
        <v>55</v>
      </c>
      <c r="C1541" t="s">
        <v>6192</v>
      </c>
      <c r="D1541">
        <v>4812455.0999999996</v>
      </c>
      <c r="E1541" t="s">
        <v>6193</v>
      </c>
      <c r="F1541">
        <v>232.97</v>
      </c>
      <c r="G1541">
        <v>4.9699997901916504</v>
      </c>
      <c r="H1541">
        <v>37</v>
      </c>
      <c r="I1541">
        <v>0</v>
      </c>
      <c r="J1541" t="s">
        <v>6194</v>
      </c>
      <c r="K1541">
        <v>10120</v>
      </c>
      <c r="L1541">
        <v>8620</v>
      </c>
      <c r="M1541">
        <v>-14.82</v>
      </c>
      <c r="N1541">
        <v>19.72</v>
      </c>
      <c r="O1541">
        <v>25.08</v>
      </c>
      <c r="P1541">
        <v>-6.36</v>
      </c>
      <c r="Q1541">
        <v>-14.08</v>
      </c>
      <c r="R1541">
        <v>-18.29</v>
      </c>
      <c r="S1541">
        <v>-12.08</v>
      </c>
      <c r="T1541">
        <v>7.21</v>
      </c>
      <c r="U1541">
        <v>9.41</v>
      </c>
      <c r="V1541">
        <v>3.5</v>
      </c>
      <c r="W1541">
        <v>5.63</v>
      </c>
      <c r="X1541">
        <v>3.34</v>
      </c>
      <c r="Y1541">
        <v>3</v>
      </c>
      <c r="Z1541">
        <v>2.74</v>
      </c>
      <c r="AA1541">
        <v>2.67</v>
      </c>
      <c r="AB1541">
        <v>1.82</v>
      </c>
      <c r="AC1541">
        <v>2.5</v>
      </c>
      <c r="AD1541">
        <v>5.48</v>
      </c>
      <c r="AE1541">
        <v>4.03</v>
      </c>
      <c r="AF1541">
        <v>3.206666666666667</v>
      </c>
      <c r="AG1541" t="str">
        <f>HYPERLINK("https://finance.naver.com/item/fchart.naver?code=388050", "지투파워 차트보기")</f>
        <v>지투파워 차트보기</v>
      </c>
    </row>
    <row r="1542" spans="1:33" x14ac:dyDescent="0.3">
      <c r="A1542" t="s">
        <v>6195</v>
      </c>
      <c r="B1542" t="s">
        <v>55</v>
      </c>
      <c r="C1542" t="s">
        <v>6196</v>
      </c>
      <c r="D1542">
        <v>58766.43</v>
      </c>
      <c r="E1542" t="s">
        <v>6197</v>
      </c>
      <c r="F1542">
        <v>27.24</v>
      </c>
      <c r="G1542">
        <v>1.570000052452087</v>
      </c>
      <c r="H1542">
        <v>114</v>
      </c>
      <c r="I1542">
        <v>0</v>
      </c>
      <c r="J1542" t="s">
        <v>6198</v>
      </c>
      <c r="K1542">
        <v>4850</v>
      </c>
      <c r="L1542">
        <v>3105</v>
      </c>
      <c r="M1542">
        <v>-35.979999999999997</v>
      </c>
      <c r="N1542">
        <v>-4.75</v>
      </c>
      <c r="O1542">
        <v>-13.97</v>
      </c>
      <c r="P1542">
        <v>6.84</v>
      </c>
      <c r="Q1542">
        <v>-8.92</v>
      </c>
      <c r="R1542">
        <v>6.7</v>
      </c>
      <c r="S1542">
        <v>-5.62</v>
      </c>
      <c r="T1542">
        <v>2.2999999999999998</v>
      </c>
      <c r="U1542">
        <v>2.23</v>
      </c>
      <c r="V1542">
        <v>1.9</v>
      </c>
      <c r="W1542">
        <v>4.5</v>
      </c>
      <c r="X1542">
        <v>2.91</v>
      </c>
      <c r="Y1542">
        <v>1.84</v>
      </c>
      <c r="Z1542">
        <v>2.0699999999999998</v>
      </c>
      <c r="AA1542">
        <v>6.26</v>
      </c>
      <c r="AB1542">
        <v>3.6</v>
      </c>
      <c r="AC1542">
        <v>1.98</v>
      </c>
      <c r="AD1542">
        <v>2.2999999999999998</v>
      </c>
      <c r="AE1542">
        <v>3.05</v>
      </c>
      <c r="AF1542">
        <v>3.21</v>
      </c>
      <c r="AG1542" t="str">
        <f>HYPERLINK("https://finance.naver.com/item/fchart.naver?code=417500", "제이아이테크 차트보기")</f>
        <v>제이아이테크 차트보기</v>
      </c>
    </row>
    <row r="1543" spans="1:33" x14ac:dyDescent="0.3">
      <c r="A1543" t="s">
        <v>6199</v>
      </c>
      <c r="B1543" t="s">
        <v>55</v>
      </c>
      <c r="C1543" t="s">
        <v>6200</v>
      </c>
      <c r="D1543">
        <v>45383.67</v>
      </c>
      <c r="E1543" t="s">
        <v>6201</v>
      </c>
      <c r="F1543">
        <v>13.02</v>
      </c>
      <c r="G1543">
        <v>0.49000000953674322</v>
      </c>
      <c r="H1543">
        <v>477</v>
      </c>
      <c r="I1543">
        <v>4.0300002098083496</v>
      </c>
      <c r="J1543" t="s">
        <v>6202</v>
      </c>
      <c r="K1543">
        <v>8650</v>
      </c>
      <c r="L1543">
        <v>6210</v>
      </c>
      <c r="M1543">
        <v>-28.21</v>
      </c>
      <c r="N1543">
        <v>1.8</v>
      </c>
      <c r="O1543">
        <v>-3.16</v>
      </c>
      <c r="P1543">
        <v>-3.2</v>
      </c>
      <c r="Q1543">
        <v>-9.82</v>
      </c>
      <c r="R1543">
        <v>-11.1</v>
      </c>
      <c r="S1543">
        <v>-1.95</v>
      </c>
      <c r="T1543">
        <v>1.31</v>
      </c>
      <c r="U1543">
        <v>1.01</v>
      </c>
      <c r="V1543">
        <v>1.39</v>
      </c>
      <c r="W1543">
        <v>3</v>
      </c>
      <c r="X1543">
        <v>1.41</v>
      </c>
      <c r="Y1543">
        <v>1.45</v>
      </c>
      <c r="Z1543">
        <v>1.37</v>
      </c>
      <c r="AA1543">
        <v>3.13</v>
      </c>
      <c r="AB1543">
        <v>2.2999999999999998</v>
      </c>
      <c r="AC1543">
        <v>3.27</v>
      </c>
      <c r="AD1543">
        <v>7.87</v>
      </c>
      <c r="AE1543">
        <v>1.34</v>
      </c>
      <c r="AF1543">
        <v>3.2133333333333329</v>
      </c>
      <c r="AG1543" t="str">
        <f>HYPERLINK("https://finance.naver.com/item/fchart.naver?code=122990", "와이솔 차트보기")</f>
        <v>와이솔 차트보기</v>
      </c>
    </row>
    <row r="1544" spans="1:33" x14ac:dyDescent="0.3">
      <c r="A1544" t="s">
        <v>6203</v>
      </c>
      <c r="B1544" t="s">
        <v>55</v>
      </c>
      <c r="C1544" t="s">
        <v>6204</v>
      </c>
      <c r="D1544">
        <v>34391.81</v>
      </c>
      <c r="E1544" t="s">
        <v>6205</v>
      </c>
      <c r="F1544">
        <v>0</v>
      </c>
      <c r="G1544">
        <v>0.99000000953674316</v>
      </c>
      <c r="H1544">
        <v>0</v>
      </c>
      <c r="I1544">
        <v>0</v>
      </c>
      <c r="J1544" t="s">
        <v>6206</v>
      </c>
      <c r="K1544">
        <v>5640</v>
      </c>
      <c r="L1544">
        <v>3385</v>
      </c>
      <c r="M1544">
        <v>-39.979999999999997</v>
      </c>
      <c r="N1544">
        <v>-9.85</v>
      </c>
      <c r="O1544">
        <v>-11.14</v>
      </c>
      <c r="P1544">
        <v>-0.47</v>
      </c>
      <c r="Q1544">
        <v>-16.04</v>
      </c>
      <c r="R1544">
        <v>-10.88</v>
      </c>
      <c r="S1544">
        <v>-3.88</v>
      </c>
      <c r="T1544">
        <v>2.14</v>
      </c>
      <c r="U1544">
        <v>1.83</v>
      </c>
      <c r="V1544">
        <v>1.92</v>
      </c>
      <c r="W1544">
        <v>3.98</v>
      </c>
      <c r="X1544">
        <v>5.29</v>
      </c>
      <c r="Y1544">
        <v>1.71</v>
      </c>
      <c r="Z1544">
        <v>4.5999999999999996</v>
      </c>
      <c r="AA1544">
        <v>6.09</v>
      </c>
      <c r="AB1544">
        <v>0.24</v>
      </c>
      <c r="AC1544">
        <v>4.03</v>
      </c>
      <c r="AD1544">
        <v>2.06</v>
      </c>
      <c r="AE1544">
        <v>2.27</v>
      </c>
      <c r="AF1544">
        <v>3.2149999999999999</v>
      </c>
      <c r="AG1544" t="str">
        <f>HYPERLINK("https://finance.naver.com/item/fchart.naver?code=171010", "램테크놀러지 차트보기")</f>
        <v>램테크놀러지 차트보기</v>
      </c>
    </row>
    <row r="1545" spans="1:33" x14ac:dyDescent="0.3">
      <c r="A1545" t="s">
        <v>6207</v>
      </c>
      <c r="B1545" t="s">
        <v>55</v>
      </c>
      <c r="C1545" t="s">
        <v>6208</v>
      </c>
      <c r="D1545">
        <v>12113.76</v>
      </c>
      <c r="E1545" t="s">
        <v>6209</v>
      </c>
      <c r="F1545">
        <v>0</v>
      </c>
      <c r="G1545">
        <v>0.70999997854232788</v>
      </c>
      <c r="H1545">
        <v>0</v>
      </c>
      <c r="I1545">
        <v>0</v>
      </c>
      <c r="J1545" t="s">
        <v>6210</v>
      </c>
      <c r="K1545">
        <v>7870</v>
      </c>
      <c r="L1545">
        <v>5370</v>
      </c>
      <c r="M1545">
        <v>-31.77</v>
      </c>
      <c r="N1545">
        <v>-1.65</v>
      </c>
      <c r="O1545">
        <v>5.17</v>
      </c>
      <c r="P1545">
        <v>1.46</v>
      </c>
      <c r="Q1545">
        <v>-9.83</v>
      </c>
      <c r="R1545">
        <v>-25.36</v>
      </c>
      <c r="S1545">
        <v>-7.44</v>
      </c>
      <c r="T1545">
        <v>1.94</v>
      </c>
      <c r="U1545">
        <v>2.25</v>
      </c>
      <c r="V1545">
        <v>1.82</v>
      </c>
      <c r="W1545">
        <v>4.37</v>
      </c>
      <c r="X1545">
        <v>3.16</v>
      </c>
      <c r="Y1545">
        <v>1.47</v>
      </c>
      <c r="Z1545">
        <v>0.85</v>
      </c>
      <c r="AA1545">
        <v>2.2999999999999998</v>
      </c>
      <c r="AB1545">
        <v>0.8</v>
      </c>
      <c r="AC1545">
        <v>2.25</v>
      </c>
      <c r="AD1545">
        <v>8.0299999999999994</v>
      </c>
      <c r="AE1545">
        <v>5.0599999999999996</v>
      </c>
      <c r="AF1545">
        <v>3.2149999999999999</v>
      </c>
      <c r="AG1545" t="str">
        <f>HYPERLINK("https://finance.naver.com/item/fchart.naver?code=348030", "모비릭스 차트보기")</f>
        <v>모비릭스 차트보기</v>
      </c>
    </row>
    <row r="1546" spans="1:33" x14ac:dyDescent="0.3">
      <c r="A1546" t="s">
        <v>6211</v>
      </c>
      <c r="B1546" t="s">
        <v>55</v>
      </c>
      <c r="C1546" t="s">
        <v>6212</v>
      </c>
      <c r="D1546">
        <v>3731.76</v>
      </c>
      <c r="E1546" t="s">
        <v>6213</v>
      </c>
      <c r="F1546">
        <v>5.69</v>
      </c>
      <c r="G1546">
        <v>0.50999999046325684</v>
      </c>
      <c r="H1546">
        <v>3311</v>
      </c>
      <c r="I1546">
        <v>3.880000114440918</v>
      </c>
      <c r="J1546" t="s">
        <v>6214</v>
      </c>
      <c r="K1546">
        <v>22700</v>
      </c>
      <c r="L1546">
        <v>18830</v>
      </c>
      <c r="M1546">
        <v>-17.05</v>
      </c>
      <c r="N1546">
        <v>1.02</v>
      </c>
      <c r="O1546">
        <v>-1.32</v>
      </c>
      <c r="P1546">
        <v>-2.4900000000000002</v>
      </c>
      <c r="Q1546">
        <v>-5.35</v>
      </c>
      <c r="R1546">
        <v>-6.68</v>
      </c>
      <c r="S1546">
        <v>0.68</v>
      </c>
      <c r="T1546">
        <v>0.88</v>
      </c>
      <c r="U1546">
        <v>0.34</v>
      </c>
      <c r="V1546">
        <v>0.56999999999999995</v>
      </c>
      <c r="W1546">
        <v>1.84</v>
      </c>
      <c r="X1546">
        <v>1.04</v>
      </c>
      <c r="Y1546">
        <v>1.24</v>
      </c>
      <c r="Z1546">
        <v>1.1599999999999999</v>
      </c>
      <c r="AA1546">
        <v>3.88</v>
      </c>
      <c r="AB1546">
        <v>4.37</v>
      </c>
      <c r="AC1546">
        <v>2.91</v>
      </c>
      <c r="AD1546">
        <v>6.42</v>
      </c>
      <c r="AE1546">
        <v>0.55000000000000004</v>
      </c>
      <c r="AF1546">
        <v>3.2149999999999999</v>
      </c>
      <c r="AG1546" t="str">
        <f>HYPERLINK("https://finance.naver.com/item/fchart.naver?code=036800", "나이스정보통신 차트보기")</f>
        <v>나이스정보통신 차트보기</v>
      </c>
    </row>
    <row r="1547" spans="1:33" x14ac:dyDescent="0.3">
      <c r="A1547" t="s">
        <v>6215</v>
      </c>
      <c r="B1547" t="s">
        <v>55</v>
      </c>
      <c r="C1547" t="s">
        <v>6216</v>
      </c>
      <c r="D1547">
        <v>155813.9</v>
      </c>
      <c r="E1547" t="s">
        <v>6217</v>
      </c>
      <c r="F1547">
        <v>0</v>
      </c>
      <c r="G1547">
        <v>1.070000052452087</v>
      </c>
      <c r="H1547">
        <v>0</v>
      </c>
      <c r="I1547">
        <v>0</v>
      </c>
      <c r="J1547" t="s">
        <v>6218</v>
      </c>
      <c r="K1547">
        <v>16460</v>
      </c>
      <c r="L1547">
        <v>9260</v>
      </c>
      <c r="M1547">
        <v>-43.74</v>
      </c>
      <c r="N1547">
        <v>-8.41</v>
      </c>
      <c r="O1547">
        <v>-12.12</v>
      </c>
      <c r="P1547">
        <v>-2.09</v>
      </c>
      <c r="Q1547">
        <v>-8.48</v>
      </c>
      <c r="R1547">
        <v>-18.43</v>
      </c>
      <c r="S1547">
        <v>6.5</v>
      </c>
      <c r="T1547">
        <v>3.5</v>
      </c>
      <c r="U1547">
        <v>3.07</v>
      </c>
      <c r="V1547">
        <v>4.07</v>
      </c>
      <c r="W1547">
        <v>4.96</v>
      </c>
      <c r="X1547">
        <v>2.17</v>
      </c>
      <c r="Y1547">
        <v>2.92</v>
      </c>
      <c r="Z1547">
        <v>2.4</v>
      </c>
      <c r="AA1547">
        <v>3.95</v>
      </c>
      <c r="AB1547">
        <v>0.51</v>
      </c>
      <c r="AC1547">
        <v>1.71</v>
      </c>
      <c r="AD1547">
        <v>8.49</v>
      </c>
      <c r="AE1547">
        <v>2.23</v>
      </c>
      <c r="AF1547">
        <v>3.2149999999999999</v>
      </c>
      <c r="AG1547" t="str">
        <f>HYPERLINK("https://finance.naver.com/item/fchart.naver?code=095500", "미래나노텍 차트보기")</f>
        <v>미래나노텍 차트보기</v>
      </c>
    </row>
    <row r="1548" spans="1:33" x14ac:dyDescent="0.3">
      <c r="A1548" t="s">
        <v>6219</v>
      </c>
      <c r="B1548" t="s">
        <v>55</v>
      </c>
      <c r="C1548" t="s">
        <v>6220</v>
      </c>
      <c r="D1548">
        <v>6246.14</v>
      </c>
      <c r="E1548" t="s">
        <v>6221</v>
      </c>
      <c r="F1548">
        <v>4.04</v>
      </c>
      <c r="G1548">
        <v>0.2099999934434891</v>
      </c>
      <c r="H1548">
        <v>1818</v>
      </c>
      <c r="I1548">
        <v>3</v>
      </c>
      <c r="J1548" t="s">
        <v>6222</v>
      </c>
      <c r="K1548">
        <v>8210</v>
      </c>
      <c r="L1548">
        <v>7340</v>
      </c>
      <c r="M1548">
        <v>-10.6</v>
      </c>
      <c r="N1548">
        <v>2.95</v>
      </c>
      <c r="O1548">
        <v>-5.67</v>
      </c>
      <c r="P1548">
        <v>-0.13</v>
      </c>
      <c r="Q1548">
        <v>-5.66</v>
      </c>
      <c r="R1548">
        <v>-2.63</v>
      </c>
      <c r="S1548">
        <v>-4.17</v>
      </c>
      <c r="T1548">
        <v>0.61</v>
      </c>
      <c r="U1548">
        <v>1.33</v>
      </c>
      <c r="V1548">
        <v>1.8</v>
      </c>
      <c r="W1548">
        <v>2.42</v>
      </c>
      <c r="X1548">
        <v>0.71</v>
      </c>
      <c r="Y1548">
        <v>1.02</v>
      </c>
      <c r="Z1548">
        <v>4.84</v>
      </c>
      <c r="AA1548">
        <v>4.26</v>
      </c>
      <c r="AB1548">
        <v>7.0000000000000007E-2</v>
      </c>
      <c r="AC1548">
        <v>2.34</v>
      </c>
      <c r="AD1548">
        <v>3.7</v>
      </c>
      <c r="AE1548">
        <v>4.09</v>
      </c>
      <c r="AF1548">
        <v>3.2166666666666668</v>
      </c>
      <c r="AG1548" t="str">
        <f>HYPERLINK("https://finance.naver.com/item/fchart.naver?code=012620", "원일특강 차트보기")</f>
        <v>원일특강 차트보기</v>
      </c>
    </row>
    <row r="1549" spans="1:33" x14ac:dyDescent="0.3">
      <c r="A1549" t="s">
        <v>6223</v>
      </c>
      <c r="B1549" t="s">
        <v>34</v>
      </c>
      <c r="C1549" t="s">
        <v>6224</v>
      </c>
      <c r="D1549">
        <v>689837.52</v>
      </c>
      <c r="E1549" t="s">
        <v>6225</v>
      </c>
      <c r="F1549">
        <v>10.87</v>
      </c>
      <c r="G1549">
        <v>0.33000001311302191</v>
      </c>
      <c r="H1549">
        <v>334</v>
      </c>
      <c r="I1549">
        <v>1.6499999761581421</v>
      </c>
      <c r="J1549" t="s">
        <v>6226</v>
      </c>
      <c r="K1549">
        <v>4085</v>
      </c>
      <c r="L1549">
        <v>3630</v>
      </c>
      <c r="M1549">
        <v>-11.14</v>
      </c>
      <c r="N1549">
        <v>-4.0999999999999996</v>
      </c>
      <c r="O1549">
        <v>-7.18</v>
      </c>
      <c r="P1549">
        <v>-4.75</v>
      </c>
      <c r="Q1549">
        <v>-10.46</v>
      </c>
      <c r="R1549">
        <v>-16.7</v>
      </c>
      <c r="S1549">
        <v>36.32</v>
      </c>
      <c r="T1549">
        <v>2.95</v>
      </c>
      <c r="U1549">
        <v>2.3199999999999998</v>
      </c>
      <c r="V1549">
        <v>2.99</v>
      </c>
      <c r="W1549">
        <v>4.8099999999999996</v>
      </c>
      <c r="X1549">
        <v>2.97</v>
      </c>
      <c r="Y1549">
        <v>6.66</v>
      </c>
      <c r="Z1549">
        <v>1.39</v>
      </c>
      <c r="AA1549">
        <v>3.09</v>
      </c>
      <c r="AB1549">
        <v>1.59</v>
      </c>
      <c r="AC1549">
        <v>2.17</v>
      </c>
      <c r="AD1549">
        <v>5.62</v>
      </c>
      <c r="AE1549">
        <v>5.45</v>
      </c>
      <c r="AF1549">
        <v>3.2183333333333328</v>
      </c>
      <c r="AG1549" t="str">
        <f>HYPERLINK("https://finance.naver.com/item/fchart.naver?code=001200", "유진투자증권 차트보기")</f>
        <v>유진투자증권 차트보기</v>
      </c>
    </row>
    <row r="1550" spans="1:33" x14ac:dyDescent="0.3">
      <c r="A1550" t="s">
        <v>6227</v>
      </c>
      <c r="B1550" t="s">
        <v>34</v>
      </c>
      <c r="C1550" t="s">
        <v>6228</v>
      </c>
      <c r="D1550">
        <v>122018.67</v>
      </c>
      <c r="E1550" t="s">
        <v>6229</v>
      </c>
      <c r="F1550">
        <v>15.12</v>
      </c>
      <c r="G1550">
        <v>1.1599999666213989</v>
      </c>
      <c r="H1550">
        <v>574</v>
      </c>
      <c r="I1550">
        <v>3.4600000381469731</v>
      </c>
      <c r="J1550" t="s">
        <v>6230</v>
      </c>
      <c r="K1550">
        <v>8420</v>
      </c>
      <c r="L1550">
        <v>8680</v>
      </c>
      <c r="M1550">
        <v>3.09</v>
      </c>
      <c r="N1550">
        <v>-14.99</v>
      </c>
      <c r="O1550">
        <v>25.09</v>
      </c>
      <c r="P1550">
        <v>-0.57999999999999996</v>
      </c>
      <c r="Q1550">
        <v>-8.5399999999999991</v>
      </c>
      <c r="R1550">
        <v>-4.76</v>
      </c>
      <c r="S1550">
        <v>-8.81</v>
      </c>
      <c r="T1550">
        <v>3.67</v>
      </c>
      <c r="U1550">
        <v>3.39</v>
      </c>
      <c r="V1550">
        <v>2.57</v>
      </c>
      <c r="W1550">
        <v>3.24</v>
      </c>
      <c r="X1550">
        <v>1.82</v>
      </c>
      <c r="Y1550">
        <v>3.76</v>
      </c>
      <c r="Z1550">
        <v>4.08</v>
      </c>
      <c r="AA1550">
        <v>7.4</v>
      </c>
      <c r="AB1550">
        <v>0.23</v>
      </c>
      <c r="AC1550">
        <v>2.64</v>
      </c>
      <c r="AD1550">
        <v>2.62</v>
      </c>
      <c r="AE1550">
        <v>2.34</v>
      </c>
      <c r="AF1550">
        <v>3.2183333333333342</v>
      </c>
      <c r="AG1550" t="str">
        <f>HYPERLINK("https://finance.naver.com/item/fchart.naver?code=339770", "교촌에프앤비 차트보기")</f>
        <v>교촌에프앤비 차트보기</v>
      </c>
    </row>
    <row r="1551" spans="1:33" x14ac:dyDescent="0.3">
      <c r="A1551" t="s">
        <v>6231</v>
      </c>
      <c r="B1551" t="s">
        <v>55</v>
      </c>
      <c r="C1551" t="s">
        <v>6232</v>
      </c>
      <c r="D1551">
        <v>1010358.38</v>
      </c>
      <c r="E1551" t="s">
        <v>6233</v>
      </c>
      <c r="F1551">
        <v>14.11</v>
      </c>
      <c r="G1551">
        <v>0.76999998092651367</v>
      </c>
      <c r="H1551">
        <v>197</v>
      </c>
      <c r="I1551">
        <v>3.5999999046325679</v>
      </c>
      <c r="J1551" t="s">
        <v>6234</v>
      </c>
      <c r="K1551">
        <v>2950</v>
      </c>
      <c r="L1551">
        <v>2780</v>
      </c>
      <c r="M1551">
        <v>-5.76</v>
      </c>
      <c r="N1551">
        <v>6.51</v>
      </c>
      <c r="O1551">
        <v>22.35</v>
      </c>
      <c r="P1551">
        <v>-1.58</v>
      </c>
      <c r="Q1551">
        <v>-6.75</v>
      </c>
      <c r="R1551">
        <v>-10.75</v>
      </c>
      <c r="S1551">
        <v>-2.65</v>
      </c>
      <c r="T1551">
        <v>2.2000000000000002</v>
      </c>
      <c r="U1551">
        <v>3.91</v>
      </c>
      <c r="V1551">
        <v>1.45</v>
      </c>
      <c r="W1551">
        <v>3.44</v>
      </c>
      <c r="X1551">
        <v>2.0699999999999998</v>
      </c>
      <c r="Y1551">
        <v>1.1100000000000001</v>
      </c>
      <c r="Z1551">
        <v>2.96</v>
      </c>
      <c r="AA1551">
        <v>5.72</v>
      </c>
      <c r="AB1551">
        <v>1.0900000000000001</v>
      </c>
      <c r="AC1551">
        <v>1.96</v>
      </c>
      <c r="AD1551">
        <v>5.19</v>
      </c>
      <c r="AE1551">
        <v>2.39</v>
      </c>
      <c r="AF1551">
        <v>3.2183333333333342</v>
      </c>
      <c r="AG1551" t="str">
        <f>HYPERLINK("https://finance.naver.com/item/fchart.naver?code=171120", "라이온켐텍 차트보기")</f>
        <v>라이온켐텍 차트보기</v>
      </c>
    </row>
    <row r="1552" spans="1:33" x14ac:dyDescent="0.3">
      <c r="A1552" t="s">
        <v>6235</v>
      </c>
      <c r="B1552" t="s">
        <v>55</v>
      </c>
      <c r="C1552" t="s">
        <v>6236</v>
      </c>
      <c r="D1552">
        <v>19385.62</v>
      </c>
      <c r="E1552" t="s">
        <v>6237</v>
      </c>
      <c r="F1552">
        <v>0</v>
      </c>
      <c r="G1552">
        <v>1.110000014305115</v>
      </c>
      <c r="H1552">
        <v>0</v>
      </c>
      <c r="I1552">
        <v>0</v>
      </c>
      <c r="J1552" t="s">
        <v>6238</v>
      </c>
      <c r="K1552">
        <v>12550</v>
      </c>
      <c r="L1552">
        <v>8380</v>
      </c>
      <c r="M1552">
        <v>-33.229999999999997</v>
      </c>
      <c r="N1552">
        <v>2.44</v>
      </c>
      <c r="O1552">
        <v>-1.65</v>
      </c>
      <c r="P1552">
        <v>-4.9400000000000004</v>
      </c>
      <c r="Q1552">
        <v>0.55000000000000004</v>
      </c>
      <c r="R1552">
        <v>-14.6</v>
      </c>
      <c r="S1552">
        <v>-6.84</v>
      </c>
      <c r="T1552">
        <v>1.5</v>
      </c>
      <c r="U1552">
        <v>1.29</v>
      </c>
      <c r="V1552">
        <v>1.52</v>
      </c>
      <c r="W1552">
        <v>3.12</v>
      </c>
      <c r="X1552">
        <v>1.6</v>
      </c>
      <c r="Y1552">
        <v>1.77</v>
      </c>
      <c r="Z1552">
        <v>1.63</v>
      </c>
      <c r="AA1552">
        <v>1.28</v>
      </c>
      <c r="AB1552">
        <v>3.25</v>
      </c>
      <c r="AC1552">
        <v>0.18</v>
      </c>
      <c r="AD1552">
        <v>9.1199999999999992</v>
      </c>
      <c r="AE1552">
        <v>3.86</v>
      </c>
      <c r="AF1552">
        <v>3.22</v>
      </c>
      <c r="AG1552" t="str">
        <f>HYPERLINK("https://finance.naver.com/item/fchart.naver?code=251370", "와이엠티 차트보기")</f>
        <v>와이엠티 차트보기</v>
      </c>
    </row>
    <row r="1553" spans="1:33" x14ac:dyDescent="0.3">
      <c r="A1553" t="s">
        <v>6239</v>
      </c>
      <c r="B1553" t="s">
        <v>55</v>
      </c>
      <c r="C1553" t="s">
        <v>6240</v>
      </c>
      <c r="D1553">
        <v>8479.81</v>
      </c>
      <c r="E1553" t="s">
        <v>6241</v>
      </c>
      <c r="F1553">
        <v>0</v>
      </c>
      <c r="G1553">
        <v>0.33000001311302191</v>
      </c>
      <c r="H1553">
        <v>0</v>
      </c>
      <c r="I1553">
        <v>5.690000057220459</v>
      </c>
      <c r="J1553" t="s">
        <v>6242</v>
      </c>
      <c r="K1553">
        <v>6950</v>
      </c>
      <c r="L1553">
        <v>5270</v>
      </c>
      <c r="M1553">
        <v>-24.17</v>
      </c>
      <c r="N1553">
        <v>-2.59</v>
      </c>
      <c r="O1553">
        <v>-8.4600000000000009</v>
      </c>
      <c r="P1553">
        <v>-4.59</v>
      </c>
      <c r="Q1553">
        <v>-0.32</v>
      </c>
      <c r="R1553">
        <v>-8.25</v>
      </c>
      <c r="S1553">
        <v>-3.15</v>
      </c>
      <c r="T1553">
        <v>1.39</v>
      </c>
      <c r="U1553">
        <v>1.34</v>
      </c>
      <c r="V1553">
        <v>2.39</v>
      </c>
      <c r="W1553">
        <v>3.51</v>
      </c>
      <c r="X1553">
        <v>1.38</v>
      </c>
      <c r="Y1553">
        <v>0.99</v>
      </c>
      <c r="Z1553">
        <v>1.86</v>
      </c>
      <c r="AA1553">
        <v>6.31</v>
      </c>
      <c r="AB1553">
        <v>1.92</v>
      </c>
      <c r="AC1553">
        <v>0.09</v>
      </c>
      <c r="AD1553">
        <v>5.98</v>
      </c>
      <c r="AE1553">
        <v>3.18</v>
      </c>
      <c r="AF1553">
        <v>3.2233333333333332</v>
      </c>
      <c r="AG1553" t="str">
        <f>HYPERLINK("https://finance.naver.com/item/fchart.naver?code=041520", "이엘씨 차트보기")</f>
        <v>이엘씨 차트보기</v>
      </c>
    </row>
    <row r="1554" spans="1:33" x14ac:dyDescent="0.3">
      <c r="A1554" t="s">
        <v>6243</v>
      </c>
      <c r="B1554" t="s">
        <v>34</v>
      </c>
      <c r="C1554" t="s">
        <v>6244</v>
      </c>
      <c r="D1554">
        <v>185368.71</v>
      </c>
      <c r="E1554" t="s">
        <v>6245</v>
      </c>
      <c r="F1554">
        <v>44.4</v>
      </c>
      <c r="G1554">
        <v>2.8499999046325679</v>
      </c>
      <c r="H1554">
        <v>4504</v>
      </c>
      <c r="I1554">
        <v>0.34999999403953552</v>
      </c>
      <c r="J1554" t="s">
        <v>6246</v>
      </c>
      <c r="K1554">
        <v>194000</v>
      </c>
      <c r="L1554">
        <v>200000</v>
      </c>
      <c r="M1554">
        <v>3.09</v>
      </c>
      <c r="N1554">
        <v>7.12</v>
      </c>
      <c r="O1554">
        <v>9.0500000000000007</v>
      </c>
      <c r="P1554">
        <v>-6.12</v>
      </c>
      <c r="Q1554">
        <v>5.19</v>
      </c>
      <c r="R1554">
        <v>-12.22</v>
      </c>
      <c r="S1554">
        <v>1</v>
      </c>
      <c r="T1554">
        <v>2.36</v>
      </c>
      <c r="U1554">
        <v>2.54</v>
      </c>
      <c r="V1554">
        <v>2.96</v>
      </c>
      <c r="W1554">
        <v>3.07</v>
      </c>
      <c r="X1554">
        <v>1.5</v>
      </c>
      <c r="Y1554">
        <v>1.18</v>
      </c>
      <c r="Z1554">
        <v>3.02</v>
      </c>
      <c r="AA1554">
        <v>3.56</v>
      </c>
      <c r="AB1554">
        <v>2.0699999999999998</v>
      </c>
      <c r="AC1554">
        <v>1.69</v>
      </c>
      <c r="AD1554">
        <v>8.15</v>
      </c>
      <c r="AE1554">
        <v>0.85</v>
      </c>
      <c r="AF1554">
        <v>3.223333333333334</v>
      </c>
      <c r="AG1554" t="str">
        <f>HYPERLINK("https://finance.naver.com/item/fchart.naver?code=352820", "하이브 차트보기")</f>
        <v>하이브 차트보기</v>
      </c>
    </row>
    <row r="1555" spans="1:33" x14ac:dyDescent="0.3">
      <c r="A1555" t="s">
        <v>6247</v>
      </c>
      <c r="B1555" t="s">
        <v>34</v>
      </c>
      <c r="C1555" t="s">
        <v>6248</v>
      </c>
      <c r="D1555">
        <v>248731.19</v>
      </c>
      <c r="E1555" t="s">
        <v>6249</v>
      </c>
      <c r="F1555">
        <v>0</v>
      </c>
      <c r="G1555">
        <v>1.570000052452087</v>
      </c>
      <c r="H1555">
        <v>0</v>
      </c>
      <c r="I1555">
        <v>0</v>
      </c>
      <c r="J1555" t="s">
        <v>6250</v>
      </c>
      <c r="K1555">
        <v>5750</v>
      </c>
      <c r="L1555">
        <v>5410</v>
      </c>
      <c r="M1555">
        <v>-5.91</v>
      </c>
      <c r="N1555">
        <v>-3.39</v>
      </c>
      <c r="O1555">
        <v>-1.4</v>
      </c>
      <c r="P1555">
        <v>-16.829999999999998</v>
      </c>
      <c r="Q1555">
        <v>22.56</v>
      </c>
      <c r="R1555">
        <v>1.06</v>
      </c>
      <c r="S1555">
        <v>-0.35</v>
      </c>
      <c r="T1555">
        <v>1.17</v>
      </c>
      <c r="U1555">
        <v>1.06</v>
      </c>
      <c r="V1555">
        <v>3.11</v>
      </c>
      <c r="W1555">
        <v>2.73</v>
      </c>
      <c r="X1555">
        <v>1.03</v>
      </c>
      <c r="Y1555">
        <v>0.81</v>
      </c>
      <c r="Z1555">
        <v>2.9</v>
      </c>
      <c r="AA1555">
        <v>1.32</v>
      </c>
      <c r="AB1555">
        <v>5.41</v>
      </c>
      <c r="AC1555">
        <v>8.26</v>
      </c>
      <c r="AD1555">
        <v>1.03</v>
      </c>
      <c r="AE1555">
        <v>0.43</v>
      </c>
      <c r="AF1555">
        <v>3.2250000000000001</v>
      </c>
      <c r="AG1555" t="str">
        <f>HYPERLINK("https://finance.naver.com/item/fchart.naver?code=079160", "CJ CGV 차트보기")</f>
        <v>CJ CGV 차트보기</v>
      </c>
    </row>
    <row r="1556" spans="1:33" x14ac:dyDescent="0.3">
      <c r="A1556" t="s">
        <v>6251</v>
      </c>
      <c r="B1556" t="s">
        <v>55</v>
      </c>
      <c r="C1556" t="s">
        <v>6252</v>
      </c>
      <c r="D1556">
        <v>67871.67</v>
      </c>
      <c r="E1556" t="s">
        <v>6253</v>
      </c>
      <c r="F1556">
        <v>48.99</v>
      </c>
      <c r="G1556">
        <v>1.169999957084656</v>
      </c>
      <c r="H1556">
        <v>306</v>
      </c>
      <c r="I1556">
        <v>1.330000042915344</v>
      </c>
      <c r="J1556" t="s">
        <v>6254</v>
      </c>
      <c r="K1556">
        <v>18370</v>
      </c>
      <c r="L1556">
        <v>14990</v>
      </c>
      <c r="M1556">
        <v>-18.399999999999999</v>
      </c>
      <c r="N1556">
        <v>-3.29</v>
      </c>
      <c r="O1556">
        <v>14.65</v>
      </c>
      <c r="P1556">
        <v>-3.84</v>
      </c>
      <c r="Q1556">
        <v>-1.1399999999999999</v>
      </c>
      <c r="R1556">
        <v>-17.3</v>
      </c>
      <c r="S1556">
        <v>-1.24</v>
      </c>
      <c r="T1556">
        <v>1.94</v>
      </c>
      <c r="U1556">
        <v>2.1</v>
      </c>
      <c r="V1556">
        <v>2.13</v>
      </c>
      <c r="W1556">
        <v>3.18</v>
      </c>
      <c r="X1556">
        <v>2.13</v>
      </c>
      <c r="Y1556">
        <v>3.14</v>
      </c>
      <c r="Z1556">
        <v>1.7</v>
      </c>
      <c r="AA1556">
        <v>6.98</v>
      </c>
      <c r="AB1556">
        <v>1.8</v>
      </c>
      <c r="AC1556">
        <v>0.36</v>
      </c>
      <c r="AD1556">
        <v>8.1199999999999992</v>
      </c>
      <c r="AE1556">
        <v>0.39</v>
      </c>
      <c r="AF1556">
        <v>3.2250000000000001</v>
      </c>
      <c r="AG1556" t="str">
        <f>HYPERLINK("https://finance.naver.com/item/fchart.naver?code=083930", "아바코 차트보기")</f>
        <v>아바코 차트보기</v>
      </c>
    </row>
    <row r="1557" spans="1:33" x14ac:dyDescent="0.3">
      <c r="A1557" t="s">
        <v>6255</v>
      </c>
      <c r="B1557" t="s">
        <v>55</v>
      </c>
      <c r="C1557" t="s">
        <v>6256</v>
      </c>
      <c r="D1557">
        <v>13207.29</v>
      </c>
      <c r="E1557" t="s">
        <v>6257</v>
      </c>
      <c r="F1557">
        <v>12.38</v>
      </c>
      <c r="G1557">
        <v>1.610000014305115</v>
      </c>
      <c r="H1557">
        <v>602</v>
      </c>
      <c r="I1557">
        <v>2.6800000667572021</v>
      </c>
      <c r="J1557" t="s">
        <v>6258</v>
      </c>
      <c r="K1557">
        <v>12180</v>
      </c>
      <c r="L1557">
        <v>7450</v>
      </c>
      <c r="M1557">
        <v>-38.83</v>
      </c>
      <c r="N1557">
        <v>0</v>
      </c>
      <c r="O1557">
        <v>-29.03</v>
      </c>
      <c r="P1557">
        <v>0.88</v>
      </c>
      <c r="Q1557">
        <v>-17.79</v>
      </c>
      <c r="R1557">
        <v>-8.6</v>
      </c>
      <c r="S1557">
        <v>-11.92</v>
      </c>
      <c r="T1557">
        <v>2.92</v>
      </c>
      <c r="U1557">
        <v>7.72</v>
      </c>
      <c r="V1557">
        <v>2.91</v>
      </c>
      <c r="W1557">
        <v>4.34</v>
      </c>
      <c r="X1557">
        <v>1.78</v>
      </c>
      <c r="Y1557">
        <v>1.87</v>
      </c>
      <c r="Z1557">
        <v>0</v>
      </c>
      <c r="AA1557">
        <v>3.76</v>
      </c>
      <c r="AB1557">
        <v>0.3</v>
      </c>
      <c r="AC1557">
        <v>4.0999999999999996</v>
      </c>
      <c r="AD1557">
        <v>4.83</v>
      </c>
      <c r="AE1557">
        <v>6.37</v>
      </c>
      <c r="AF1557">
        <v>3.226666666666667</v>
      </c>
      <c r="AG1557" t="str">
        <f>HYPERLINK("https://finance.naver.com/item/fchart.naver?code=373170", "엠아이큐브솔루션 차트보기")</f>
        <v>엠아이큐브솔루션 차트보기</v>
      </c>
    </row>
    <row r="1558" spans="1:33" x14ac:dyDescent="0.3">
      <c r="A1558" t="s">
        <v>6259</v>
      </c>
      <c r="B1558" t="s">
        <v>34</v>
      </c>
      <c r="C1558" t="s">
        <v>6260</v>
      </c>
      <c r="D1558">
        <v>64387.76</v>
      </c>
      <c r="E1558" t="s">
        <v>6261</v>
      </c>
      <c r="F1558">
        <v>7.13</v>
      </c>
      <c r="G1558">
        <v>1.4099999666213989</v>
      </c>
      <c r="H1558">
        <v>1805</v>
      </c>
      <c r="I1558">
        <v>2.3299999237060551</v>
      </c>
      <c r="J1558" t="s">
        <v>6262</v>
      </c>
      <c r="K1558">
        <v>13900</v>
      </c>
      <c r="L1558">
        <v>12870</v>
      </c>
      <c r="M1558">
        <v>-7.41</v>
      </c>
      <c r="N1558">
        <v>-2.2799999999999998</v>
      </c>
      <c r="O1558">
        <v>-8.89</v>
      </c>
      <c r="P1558">
        <v>13.66</v>
      </c>
      <c r="Q1558">
        <v>-3.71</v>
      </c>
      <c r="R1558">
        <v>-8.5500000000000007</v>
      </c>
      <c r="S1558">
        <v>12.87</v>
      </c>
      <c r="T1558">
        <v>3.07</v>
      </c>
      <c r="U1558">
        <v>1.85</v>
      </c>
      <c r="V1558">
        <v>2.71</v>
      </c>
      <c r="W1558">
        <v>3.95</v>
      </c>
      <c r="X1558">
        <v>2.04</v>
      </c>
      <c r="Y1558">
        <v>3.53</v>
      </c>
      <c r="Z1558">
        <v>0.74</v>
      </c>
      <c r="AA1558">
        <v>4.8099999999999996</v>
      </c>
      <c r="AB1558">
        <v>5.04</v>
      </c>
      <c r="AC1558">
        <v>0.94</v>
      </c>
      <c r="AD1558">
        <v>4.1900000000000004</v>
      </c>
      <c r="AE1558">
        <v>3.65</v>
      </c>
      <c r="AF1558">
        <v>3.2283333333333331</v>
      </c>
      <c r="AG1558" t="str">
        <f>HYPERLINK("https://finance.naver.com/item/fchart.naver?code=035150", "백산 차트보기")</f>
        <v>백산 차트보기</v>
      </c>
    </row>
    <row r="1559" spans="1:33" x14ac:dyDescent="0.3">
      <c r="A1559" t="s">
        <v>6263</v>
      </c>
      <c r="B1559" t="s">
        <v>55</v>
      </c>
      <c r="C1559" t="s">
        <v>6264</v>
      </c>
      <c r="D1559">
        <v>10564.1</v>
      </c>
      <c r="E1559" t="s">
        <v>6265</v>
      </c>
      <c r="F1559">
        <v>4.82</v>
      </c>
      <c r="G1559">
        <v>0.67000001668930054</v>
      </c>
      <c r="H1559">
        <v>1846</v>
      </c>
      <c r="I1559">
        <v>2.809999942779541</v>
      </c>
      <c r="J1559" t="s">
        <v>6266</v>
      </c>
      <c r="K1559">
        <v>13200</v>
      </c>
      <c r="L1559">
        <v>8900</v>
      </c>
      <c r="M1559">
        <v>-32.58</v>
      </c>
      <c r="N1559">
        <v>2.5299999999999998</v>
      </c>
      <c r="O1559">
        <v>-9.26</v>
      </c>
      <c r="P1559">
        <v>-3.34</v>
      </c>
      <c r="Q1559">
        <v>-13.75</v>
      </c>
      <c r="R1559">
        <v>-2.85</v>
      </c>
      <c r="S1559">
        <v>-8.52</v>
      </c>
      <c r="T1559">
        <v>2.02</v>
      </c>
      <c r="U1559">
        <v>1.58</v>
      </c>
      <c r="V1559">
        <v>1.64</v>
      </c>
      <c r="W1559">
        <v>3.14</v>
      </c>
      <c r="X1559">
        <v>1.38</v>
      </c>
      <c r="Y1559">
        <v>2.2599999999999998</v>
      </c>
      <c r="Z1559">
        <v>1.25</v>
      </c>
      <c r="AA1559">
        <v>5.86</v>
      </c>
      <c r="AB1559">
        <v>2.04</v>
      </c>
      <c r="AC1559">
        <v>4.38</v>
      </c>
      <c r="AD1559">
        <v>2.0699999999999998</v>
      </c>
      <c r="AE1559">
        <v>3.77</v>
      </c>
      <c r="AF1559">
        <v>3.2283333333333331</v>
      </c>
      <c r="AG1559" t="str">
        <f>HYPERLINK("https://finance.naver.com/item/fchart.naver?code=086670", "비엠티 차트보기")</f>
        <v>비엠티 차트보기</v>
      </c>
    </row>
    <row r="1560" spans="1:33" x14ac:dyDescent="0.3">
      <c r="A1560" t="s">
        <v>6267</v>
      </c>
      <c r="B1560" t="s">
        <v>55</v>
      </c>
      <c r="C1560" t="s">
        <v>6268</v>
      </c>
      <c r="D1560">
        <v>32614.95</v>
      </c>
      <c r="E1560" t="s">
        <v>6269</v>
      </c>
      <c r="F1560">
        <v>0</v>
      </c>
      <c r="G1560">
        <v>1.3500000238418579</v>
      </c>
      <c r="H1560">
        <v>0</v>
      </c>
      <c r="I1560">
        <v>0</v>
      </c>
      <c r="J1560" t="s">
        <v>6270</v>
      </c>
      <c r="K1560">
        <v>1335</v>
      </c>
      <c r="L1560">
        <v>1146</v>
      </c>
      <c r="M1560">
        <v>-14.16</v>
      </c>
      <c r="N1560">
        <v>-2.2200000000000002</v>
      </c>
      <c r="O1560">
        <v>-9.3699999999999992</v>
      </c>
      <c r="P1560">
        <v>5.49</v>
      </c>
      <c r="Q1560">
        <v>-8.85</v>
      </c>
      <c r="R1560">
        <v>-3.05</v>
      </c>
      <c r="S1560">
        <v>12.5</v>
      </c>
      <c r="T1560">
        <v>0.7</v>
      </c>
      <c r="U1560">
        <v>1.31</v>
      </c>
      <c r="V1560">
        <v>2.6</v>
      </c>
      <c r="W1560">
        <v>4.2699999999999996</v>
      </c>
      <c r="X1560">
        <v>1.78</v>
      </c>
      <c r="Y1560">
        <v>3.95</v>
      </c>
      <c r="Z1560">
        <v>3.17</v>
      </c>
      <c r="AA1560">
        <v>7.15</v>
      </c>
      <c r="AB1560">
        <v>2.11</v>
      </c>
      <c r="AC1560">
        <v>2.0699999999999998</v>
      </c>
      <c r="AD1560">
        <v>1.71</v>
      </c>
      <c r="AE1560">
        <v>3.16</v>
      </c>
      <c r="AF1560">
        <v>3.2283333333333331</v>
      </c>
      <c r="AG1560" t="str">
        <f>HYPERLINK("https://finance.naver.com/item/fchart.naver?code=049120", "파인디앤씨 차트보기")</f>
        <v>파인디앤씨 차트보기</v>
      </c>
    </row>
    <row r="1561" spans="1:33" x14ac:dyDescent="0.3">
      <c r="A1561" t="s">
        <v>6271</v>
      </c>
      <c r="B1561" t="s">
        <v>55</v>
      </c>
      <c r="C1561" t="s">
        <v>6272</v>
      </c>
      <c r="D1561">
        <v>16693.71</v>
      </c>
      <c r="E1561" t="s">
        <v>6273</v>
      </c>
      <c r="F1561">
        <v>6.37</v>
      </c>
      <c r="G1561">
        <v>0.34000000357627869</v>
      </c>
      <c r="H1561">
        <v>221</v>
      </c>
      <c r="I1561">
        <v>3.5499999523162842</v>
      </c>
      <c r="J1561" t="s">
        <v>6274</v>
      </c>
      <c r="K1561">
        <v>1922</v>
      </c>
      <c r="L1561">
        <v>1407</v>
      </c>
      <c r="M1561">
        <v>-26.8</v>
      </c>
      <c r="N1561">
        <v>-1.61</v>
      </c>
      <c r="O1561">
        <v>-5.8</v>
      </c>
      <c r="P1561">
        <v>-6.24</v>
      </c>
      <c r="Q1561">
        <v>-14.01</v>
      </c>
      <c r="R1561">
        <v>-6.21</v>
      </c>
      <c r="S1561">
        <v>14.08</v>
      </c>
      <c r="T1561">
        <v>1.34</v>
      </c>
      <c r="U1561">
        <v>0.98</v>
      </c>
      <c r="V1561">
        <v>1.77</v>
      </c>
      <c r="W1561">
        <v>3</v>
      </c>
      <c r="X1561">
        <v>2.5</v>
      </c>
      <c r="Y1561">
        <v>8.92</v>
      </c>
      <c r="Z1561">
        <v>1.2</v>
      </c>
      <c r="AA1561">
        <v>5.92</v>
      </c>
      <c r="AB1561">
        <v>3.53</v>
      </c>
      <c r="AC1561">
        <v>4.67</v>
      </c>
      <c r="AD1561">
        <v>2.48</v>
      </c>
      <c r="AE1561">
        <v>1.58</v>
      </c>
      <c r="AF1561">
        <v>3.23</v>
      </c>
      <c r="AG1561" t="str">
        <f>HYPERLINK("https://finance.naver.com/item/fchart.naver?code=060380", "동양에스텍 차트보기")</f>
        <v>동양에스텍 차트보기</v>
      </c>
    </row>
    <row r="1562" spans="1:33" x14ac:dyDescent="0.3">
      <c r="A1562" t="s">
        <v>6275</v>
      </c>
      <c r="B1562" t="s">
        <v>55</v>
      </c>
      <c r="C1562" t="s">
        <v>6276</v>
      </c>
      <c r="D1562">
        <v>19300.240000000002</v>
      </c>
      <c r="E1562" t="s">
        <v>6277</v>
      </c>
      <c r="F1562">
        <v>0</v>
      </c>
      <c r="G1562">
        <v>1.809999942779541</v>
      </c>
      <c r="H1562">
        <v>0</v>
      </c>
      <c r="I1562">
        <v>0</v>
      </c>
      <c r="J1562" t="s">
        <v>6278</v>
      </c>
      <c r="K1562">
        <v>2820</v>
      </c>
      <c r="L1562">
        <v>1687</v>
      </c>
      <c r="M1562">
        <v>-40.18</v>
      </c>
      <c r="N1562">
        <v>2.87</v>
      </c>
      <c r="O1562">
        <v>-7.43</v>
      </c>
      <c r="P1562">
        <v>-3.11</v>
      </c>
      <c r="Q1562">
        <v>-4.18</v>
      </c>
      <c r="R1562">
        <v>-5.54</v>
      </c>
      <c r="S1562">
        <v>-20.420000000000002</v>
      </c>
      <c r="T1562">
        <v>1.8</v>
      </c>
      <c r="U1562">
        <v>2.35</v>
      </c>
      <c r="V1562">
        <v>2.27</v>
      </c>
      <c r="W1562">
        <v>4.53</v>
      </c>
      <c r="X1562">
        <v>2.97</v>
      </c>
      <c r="Y1562">
        <v>1.95</v>
      </c>
      <c r="Z1562">
        <v>1.59</v>
      </c>
      <c r="AA1562">
        <v>3.16</v>
      </c>
      <c r="AB1562">
        <v>1.37</v>
      </c>
      <c r="AC1562">
        <v>0.92</v>
      </c>
      <c r="AD1562">
        <v>1.87</v>
      </c>
      <c r="AE1562">
        <v>10.47</v>
      </c>
      <c r="AF1562">
        <v>3.23</v>
      </c>
      <c r="AG1562" t="str">
        <f>HYPERLINK("https://finance.naver.com/item/fchart.naver?code=239340", "이스트에이드 차트보기")</f>
        <v>이스트에이드 차트보기</v>
      </c>
    </row>
    <row r="1563" spans="1:33" x14ac:dyDescent="0.3">
      <c r="A1563" t="s">
        <v>6279</v>
      </c>
      <c r="B1563" t="s">
        <v>55</v>
      </c>
      <c r="C1563" t="s">
        <v>6280</v>
      </c>
      <c r="D1563">
        <v>135035.71</v>
      </c>
      <c r="E1563" t="s">
        <v>6281</v>
      </c>
      <c r="F1563">
        <v>0</v>
      </c>
      <c r="G1563">
        <v>10.989999771118161</v>
      </c>
      <c r="H1563">
        <v>0</v>
      </c>
      <c r="I1563">
        <v>0</v>
      </c>
      <c r="J1563" t="s">
        <v>6282</v>
      </c>
      <c r="K1563">
        <v>26350</v>
      </c>
      <c r="L1563">
        <v>10540</v>
      </c>
      <c r="M1563">
        <v>-60</v>
      </c>
      <c r="N1563">
        <v>-7.3</v>
      </c>
      <c r="O1563">
        <v>-8.82</v>
      </c>
      <c r="P1563">
        <v>-6.03</v>
      </c>
      <c r="Q1563">
        <v>-21.26</v>
      </c>
      <c r="R1563">
        <v>-16.190000000000001</v>
      </c>
      <c r="S1563">
        <v>-15.79</v>
      </c>
      <c r="T1563">
        <v>4.21</v>
      </c>
      <c r="U1563">
        <v>3.25</v>
      </c>
      <c r="V1563">
        <v>3.41</v>
      </c>
      <c r="W1563">
        <v>5.46</v>
      </c>
      <c r="X1563">
        <v>3.32</v>
      </c>
      <c r="Y1563">
        <v>3.58</v>
      </c>
      <c r="Z1563">
        <v>1.73</v>
      </c>
      <c r="AA1563">
        <v>2.71</v>
      </c>
      <c r="AB1563">
        <v>1.77</v>
      </c>
      <c r="AC1563">
        <v>3.89</v>
      </c>
      <c r="AD1563">
        <v>4.88</v>
      </c>
      <c r="AE1563">
        <v>4.41</v>
      </c>
      <c r="AF1563">
        <v>3.2316666666666669</v>
      </c>
      <c r="AG1563" t="str">
        <f>HYPERLINK("https://finance.naver.com/item/fchart.naver?code=394280", "오픈엣지테크놀로지 차트보기")</f>
        <v>오픈엣지테크놀로지 차트보기</v>
      </c>
    </row>
    <row r="1564" spans="1:33" x14ac:dyDescent="0.3">
      <c r="A1564" t="s">
        <v>6283</v>
      </c>
      <c r="B1564" t="s">
        <v>55</v>
      </c>
      <c r="C1564" t="s">
        <v>6284</v>
      </c>
      <c r="D1564">
        <v>42397.33</v>
      </c>
      <c r="E1564" t="s">
        <v>6285</v>
      </c>
      <c r="F1564">
        <v>0</v>
      </c>
      <c r="G1564">
        <v>0.17000000178813929</v>
      </c>
      <c r="H1564">
        <v>0</v>
      </c>
      <c r="I1564">
        <v>0</v>
      </c>
      <c r="J1564" t="s">
        <v>6286</v>
      </c>
      <c r="K1564">
        <v>1365</v>
      </c>
      <c r="L1564">
        <v>1001</v>
      </c>
      <c r="M1564">
        <v>-26.67</v>
      </c>
      <c r="N1564">
        <v>-3.29</v>
      </c>
      <c r="O1564">
        <v>-6.58</v>
      </c>
      <c r="P1564">
        <v>-4.63</v>
      </c>
      <c r="Q1564">
        <v>-2.78</v>
      </c>
      <c r="R1564">
        <v>-5.24</v>
      </c>
      <c r="S1564">
        <v>-5.93</v>
      </c>
      <c r="T1564">
        <v>2.09</v>
      </c>
      <c r="U1564">
        <v>1.35</v>
      </c>
      <c r="V1564">
        <v>2.17</v>
      </c>
      <c r="W1564">
        <v>4.37</v>
      </c>
      <c r="X1564">
        <v>1.63</v>
      </c>
      <c r="Y1564">
        <v>0.85</v>
      </c>
      <c r="Z1564">
        <v>1.57</v>
      </c>
      <c r="AA1564">
        <v>4.87</v>
      </c>
      <c r="AB1564">
        <v>2.13</v>
      </c>
      <c r="AC1564">
        <v>0.64</v>
      </c>
      <c r="AD1564">
        <v>3.21</v>
      </c>
      <c r="AE1564">
        <v>6.98</v>
      </c>
      <c r="AF1564">
        <v>3.2333333333333338</v>
      </c>
      <c r="AG1564" t="str">
        <f>HYPERLINK("https://finance.naver.com/item/fchart.naver?code=106240", "파인테크닉스 차트보기")</f>
        <v>파인테크닉스 차트보기</v>
      </c>
    </row>
    <row r="1565" spans="1:33" x14ac:dyDescent="0.3">
      <c r="A1565" t="s">
        <v>6287</v>
      </c>
      <c r="B1565" t="s">
        <v>55</v>
      </c>
      <c r="C1565" t="s">
        <v>6288</v>
      </c>
      <c r="D1565">
        <v>20911.86</v>
      </c>
      <c r="E1565" t="s">
        <v>6289</v>
      </c>
      <c r="F1565">
        <v>0</v>
      </c>
      <c r="G1565">
        <v>3.4200000762939449</v>
      </c>
      <c r="H1565">
        <v>0</v>
      </c>
      <c r="I1565">
        <v>0</v>
      </c>
      <c r="J1565" t="s">
        <v>6290</v>
      </c>
      <c r="K1565">
        <v>17350</v>
      </c>
      <c r="L1565">
        <v>17980</v>
      </c>
      <c r="M1565">
        <v>3.63</v>
      </c>
      <c r="N1565">
        <v>5.7</v>
      </c>
      <c r="O1565">
        <v>20.13</v>
      </c>
      <c r="P1565">
        <v>1.28</v>
      </c>
      <c r="Q1565">
        <v>2.75</v>
      </c>
      <c r="R1565">
        <v>-8.58</v>
      </c>
      <c r="S1565">
        <v>-10.98</v>
      </c>
      <c r="T1565">
        <v>4.54</v>
      </c>
      <c r="U1565">
        <v>3.1</v>
      </c>
      <c r="V1565">
        <v>2.97</v>
      </c>
      <c r="W1565">
        <v>3.99</v>
      </c>
      <c r="X1565">
        <v>1.72</v>
      </c>
      <c r="Y1565">
        <v>1.98</v>
      </c>
      <c r="Z1565">
        <v>1.26</v>
      </c>
      <c r="AA1565">
        <v>6.49</v>
      </c>
      <c r="AB1565">
        <v>0.43</v>
      </c>
      <c r="AC1565">
        <v>0.69</v>
      </c>
      <c r="AD1565">
        <v>4.99</v>
      </c>
      <c r="AE1565">
        <v>5.55</v>
      </c>
      <c r="AF1565">
        <v>3.2349999999999999</v>
      </c>
      <c r="AG1565" t="str">
        <f>HYPERLINK("https://finance.naver.com/item/fchart.naver?code=086820", "바이오솔루션 차트보기")</f>
        <v>바이오솔루션 차트보기</v>
      </c>
    </row>
    <row r="1566" spans="1:33" x14ac:dyDescent="0.3">
      <c r="A1566" t="s">
        <v>6291</v>
      </c>
      <c r="B1566" t="s">
        <v>55</v>
      </c>
      <c r="C1566" t="s">
        <v>6292</v>
      </c>
      <c r="D1566">
        <v>97298.29</v>
      </c>
      <c r="E1566" t="s">
        <v>6293</v>
      </c>
      <c r="F1566">
        <v>6.89</v>
      </c>
      <c r="G1566">
        <v>0.31000000238418579</v>
      </c>
      <c r="H1566">
        <v>407</v>
      </c>
      <c r="I1566">
        <v>4.2800002098083496</v>
      </c>
      <c r="J1566" t="s">
        <v>6294</v>
      </c>
      <c r="K1566">
        <v>3230</v>
      </c>
      <c r="L1566">
        <v>2805</v>
      </c>
      <c r="M1566">
        <v>-13.16</v>
      </c>
      <c r="N1566">
        <v>8.09</v>
      </c>
      <c r="O1566">
        <v>-3.17</v>
      </c>
      <c r="P1566">
        <v>1.5</v>
      </c>
      <c r="Q1566">
        <v>-7.29</v>
      </c>
      <c r="R1566">
        <v>-4.6399999999999997</v>
      </c>
      <c r="S1566">
        <v>-3.44</v>
      </c>
      <c r="T1566">
        <v>1.77</v>
      </c>
      <c r="U1566">
        <v>1.01</v>
      </c>
      <c r="V1566">
        <v>1.0900000000000001</v>
      </c>
      <c r="W1566">
        <v>2.16</v>
      </c>
      <c r="X1566">
        <v>1.03</v>
      </c>
      <c r="Y1566">
        <v>1.41</v>
      </c>
      <c r="Z1566">
        <v>4.57</v>
      </c>
      <c r="AA1566">
        <v>3.14</v>
      </c>
      <c r="AB1566">
        <v>1.38</v>
      </c>
      <c r="AC1566">
        <v>3.38</v>
      </c>
      <c r="AD1566">
        <v>4.5</v>
      </c>
      <c r="AE1566">
        <v>2.44</v>
      </c>
      <c r="AF1566">
        <v>3.2349999999999999</v>
      </c>
      <c r="AG1566" t="str">
        <f>HYPERLINK("https://finance.naver.com/item/fchart.naver?code=035810", "이지홀딩스 차트보기")</f>
        <v>이지홀딩스 차트보기</v>
      </c>
    </row>
    <row r="1567" spans="1:33" x14ac:dyDescent="0.3">
      <c r="A1567" t="s">
        <v>6295</v>
      </c>
      <c r="B1567" t="s">
        <v>55</v>
      </c>
      <c r="C1567" t="s">
        <v>6296</v>
      </c>
      <c r="D1567">
        <v>4000.43</v>
      </c>
      <c r="E1567" t="s">
        <v>6297</v>
      </c>
      <c r="F1567">
        <v>13.12</v>
      </c>
      <c r="G1567">
        <v>3.3900001049041748</v>
      </c>
      <c r="H1567">
        <v>975</v>
      </c>
      <c r="I1567">
        <v>6.0999999046325684</v>
      </c>
      <c r="J1567" t="s">
        <v>6298</v>
      </c>
      <c r="K1567">
        <v>13250</v>
      </c>
      <c r="L1567">
        <v>12790</v>
      </c>
      <c r="M1567">
        <v>-3.47</v>
      </c>
      <c r="N1567">
        <v>0.95</v>
      </c>
      <c r="O1567">
        <v>-0.39</v>
      </c>
      <c r="P1567">
        <v>-0.47</v>
      </c>
      <c r="Q1567">
        <v>3.41</v>
      </c>
      <c r="R1567">
        <v>-4.0599999999999996</v>
      </c>
      <c r="S1567">
        <v>-2.4300000000000002</v>
      </c>
      <c r="T1567">
        <v>0.64</v>
      </c>
      <c r="U1567">
        <v>0.3</v>
      </c>
      <c r="V1567">
        <v>0.75</v>
      </c>
      <c r="W1567">
        <v>1.42</v>
      </c>
      <c r="X1567">
        <v>0.47</v>
      </c>
      <c r="Y1567">
        <v>0.49</v>
      </c>
      <c r="Z1567">
        <v>1.48</v>
      </c>
      <c r="AA1567">
        <v>1.3</v>
      </c>
      <c r="AB1567">
        <v>0.63</v>
      </c>
      <c r="AC1567">
        <v>2.4</v>
      </c>
      <c r="AD1567">
        <v>8.64</v>
      </c>
      <c r="AE1567">
        <v>4.96</v>
      </c>
      <c r="AF1567">
        <v>3.2349999999999999</v>
      </c>
      <c r="AG1567" t="str">
        <f>HYPERLINK("https://finance.naver.com/item/fchart.naver?code=092130", "이크레더블 차트보기")</f>
        <v>이크레더블 차트보기</v>
      </c>
    </row>
    <row r="1568" spans="1:33" x14ac:dyDescent="0.3">
      <c r="A1568" t="s">
        <v>6299</v>
      </c>
      <c r="B1568" t="s">
        <v>55</v>
      </c>
      <c r="C1568" t="s">
        <v>6300</v>
      </c>
      <c r="D1568">
        <v>30432.67</v>
      </c>
      <c r="E1568" t="s">
        <v>6301</v>
      </c>
      <c r="F1568">
        <v>0</v>
      </c>
      <c r="G1568">
        <v>1.2400000095367429</v>
      </c>
      <c r="H1568">
        <v>0</v>
      </c>
      <c r="I1568">
        <v>0</v>
      </c>
      <c r="J1568" t="s">
        <v>6302</v>
      </c>
      <c r="K1568">
        <v>4330</v>
      </c>
      <c r="L1568">
        <v>3415</v>
      </c>
      <c r="M1568">
        <v>-21.13</v>
      </c>
      <c r="N1568">
        <v>1.49</v>
      </c>
      <c r="O1568">
        <v>-0.57999999999999996</v>
      </c>
      <c r="P1568">
        <v>-8.73</v>
      </c>
      <c r="Q1568">
        <v>-7.73</v>
      </c>
      <c r="R1568">
        <v>-14.74</v>
      </c>
      <c r="S1568">
        <v>16.440000000000001</v>
      </c>
      <c r="T1568">
        <v>1.05</v>
      </c>
      <c r="U1568">
        <v>7.75</v>
      </c>
      <c r="V1568">
        <v>3.83</v>
      </c>
      <c r="W1568">
        <v>4.7</v>
      </c>
      <c r="X1568">
        <v>2.58</v>
      </c>
      <c r="Y1568">
        <v>1.98</v>
      </c>
      <c r="Z1568">
        <v>1.42</v>
      </c>
      <c r="AA1568">
        <v>7.0000000000000007E-2</v>
      </c>
      <c r="AB1568">
        <v>2.2799999999999998</v>
      </c>
      <c r="AC1568">
        <v>1.64</v>
      </c>
      <c r="AD1568">
        <v>5.71</v>
      </c>
      <c r="AE1568">
        <v>8.3000000000000007</v>
      </c>
      <c r="AF1568">
        <v>3.2366666666666668</v>
      </c>
      <c r="AG1568" t="str">
        <f>HYPERLINK("https://finance.naver.com/item/fchart.naver?code=335810", "프리시젼바이오 차트보기")</f>
        <v>프리시젼바이오 차트보기</v>
      </c>
    </row>
    <row r="1569" spans="1:33" x14ac:dyDescent="0.3">
      <c r="A1569" t="s">
        <v>6303</v>
      </c>
      <c r="B1569" t="s">
        <v>55</v>
      </c>
      <c r="C1569" t="s">
        <v>6304</v>
      </c>
      <c r="D1569">
        <v>95493.81</v>
      </c>
      <c r="E1569" t="s">
        <v>6305</v>
      </c>
      <c r="F1569">
        <v>2.04</v>
      </c>
      <c r="G1569">
        <v>0.2800000011920929</v>
      </c>
      <c r="H1569">
        <v>3115</v>
      </c>
      <c r="I1569">
        <v>0</v>
      </c>
      <c r="J1569" t="s">
        <v>6306</v>
      </c>
      <c r="K1569">
        <v>9590</v>
      </c>
      <c r="L1569">
        <v>6340</v>
      </c>
      <c r="M1569">
        <v>-33.89</v>
      </c>
      <c r="N1569">
        <v>-1.25</v>
      </c>
      <c r="O1569">
        <v>6.8</v>
      </c>
      <c r="P1569">
        <v>-16.510000000000002</v>
      </c>
      <c r="Q1569">
        <v>-9.6999999999999993</v>
      </c>
      <c r="R1569">
        <v>-5.83</v>
      </c>
      <c r="S1569">
        <v>-5.0999999999999996</v>
      </c>
      <c r="T1569">
        <v>2.8</v>
      </c>
      <c r="U1569">
        <v>2.95</v>
      </c>
      <c r="V1569">
        <v>2.41</v>
      </c>
      <c r="W1569">
        <v>3.21</v>
      </c>
      <c r="X1569">
        <v>1.57</v>
      </c>
      <c r="Y1569">
        <v>1.65</v>
      </c>
      <c r="Z1569">
        <v>0.45</v>
      </c>
      <c r="AA1569">
        <v>2.31</v>
      </c>
      <c r="AB1569">
        <v>6.85</v>
      </c>
      <c r="AC1569">
        <v>3.02</v>
      </c>
      <c r="AD1569">
        <v>3.71</v>
      </c>
      <c r="AE1569">
        <v>3.09</v>
      </c>
      <c r="AF1569">
        <v>3.2383333333333328</v>
      </c>
      <c r="AG1569" t="str">
        <f>HYPERLINK("https://finance.naver.com/item/fchart.naver?code=052790", "액토즈소프트 차트보기")</f>
        <v>액토즈소프트 차트보기</v>
      </c>
    </row>
    <row r="1570" spans="1:33" x14ac:dyDescent="0.3">
      <c r="A1570" t="s">
        <v>6307</v>
      </c>
      <c r="B1570" t="s">
        <v>55</v>
      </c>
      <c r="C1570" t="s">
        <v>6308</v>
      </c>
      <c r="D1570">
        <v>135701.19</v>
      </c>
      <c r="E1570" t="s">
        <v>6309</v>
      </c>
      <c r="F1570">
        <v>0</v>
      </c>
      <c r="G1570">
        <v>0.27000001072883612</v>
      </c>
      <c r="H1570">
        <v>0</v>
      </c>
      <c r="I1570">
        <v>0</v>
      </c>
      <c r="J1570" t="s">
        <v>6310</v>
      </c>
      <c r="K1570">
        <v>407</v>
      </c>
      <c r="L1570">
        <v>366</v>
      </c>
      <c r="M1570">
        <v>-10.07</v>
      </c>
      <c r="N1570">
        <v>2.52</v>
      </c>
      <c r="O1570">
        <v>-4.46</v>
      </c>
      <c r="P1570">
        <v>-4.5</v>
      </c>
      <c r="Q1570">
        <v>-9.25</v>
      </c>
      <c r="R1570">
        <v>3.63</v>
      </c>
      <c r="S1570">
        <v>-10.62</v>
      </c>
      <c r="T1570">
        <v>1.55</v>
      </c>
      <c r="U1570">
        <v>1.69</v>
      </c>
      <c r="V1570">
        <v>1.62</v>
      </c>
      <c r="W1570">
        <v>2.92</v>
      </c>
      <c r="X1570">
        <v>1.6</v>
      </c>
      <c r="Y1570">
        <v>1.53</v>
      </c>
      <c r="Z1570">
        <v>1.63</v>
      </c>
      <c r="AA1570">
        <v>2.64</v>
      </c>
      <c r="AB1570">
        <v>2.78</v>
      </c>
      <c r="AC1570">
        <v>3.17</v>
      </c>
      <c r="AD1570">
        <v>2.27</v>
      </c>
      <c r="AE1570">
        <v>6.94</v>
      </c>
      <c r="AF1570">
        <v>3.2383333333333328</v>
      </c>
      <c r="AG1570" t="str">
        <f>HYPERLINK("https://finance.naver.com/item/fchart.naver?code=052300", "씨티프라퍼티 차트보기")</f>
        <v>씨티프라퍼티 차트보기</v>
      </c>
    </row>
    <row r="1571" spans="1:33" x14ac:dyDescent="0.3">
      <c r="A1571" t="s">
        <v>6311</v>
      </c>
      <c r="B1571" t="s">
        <v>55</v>
      </c>
      <c r="C1571" t="s">
        <v>6312</v>
      </c>
      <c r="D1571">
        <v>129794.52</v>
      </c>
      <c r="E1571" t="s">
        <v>6313</v>
      </c>
      <c r="F1571">
        <v>16.79</v>
      </c>
      <c r="G1571">
        <v>1.700000047683716</v>
      </c>
      <c r="H1571">
        <v>1456</v>
      </c>
      <c r="I1571">
        <v>0</v>
      </c>
      <c r="J1571" t="s">
        <v>6314</v>
      </c>
      <c r="K1571">
        <v>39450</v>
      </c>
      <c r="L1571">
        <v>24450</v>
      </c>
      <c r="M1571">
        <v>-38.020000000000003</v>
      </c>
      <c r="N1571">
        <v>-10.6</v>
      </c>
      <c r="O1571">
        <v>-8.94</v>
      </c>
      <c r="P1571">
        <v>-8.19</v>
      </c>
      <c r="Q1571">
        <v>-1.03</v>
      </c>
      <c r="R1571">
        <v>-14.96</v>
      </c>
      <c r="S1571">
        <v>-9.83</v>
      </c>
      <c r="T1571">
        <v>1.83</v>
      </c>
      <c r="U1571">
        <v>3.53</v>
      </c>
      <c r="V1571">
        <v>4.5599999999999996</v>
      </c>
      <c r="W1571">
        <v>3.78</v>
      </c>
      <c r="X1571">
        <v>2.5499999999999998</v>
      </c>
      <c r="Y1571">
        <v>3.1</v>
      </c>
      <c r="Z1571">
        <v>5.79</v>
      </c>
      <c r="AA1571">
        <v>2.5299999999999998</v>
      </c>
      <c r="AB1571">
        <v>1.8</v>
      </c>
      <c r="AC1571">
        <v>0.27</v>
      </c>
      <c r="AD1571">
        <v>5.87</v>
      </c>
      <c r="AE1571">
        <v>3.17</v>
      </c>
      <c r="AF1571">
        <v>3.2383333333333328</v>
      </c>
      <c r="AG1571" t="str">
        <f>HYPERLINK("https://finance.naver.com/item/fchart.naver?code=213420", "덕산네오룩스 차트보기")</f>
        <v>덕산네오룩스 차트보기</v>
      </c>
    </row>
    <row r="1572" spans="1:33" x14ac:dyDescent="0.3">
      <c r="A1572" t="s">
        <v>6315</v>
      </c>
      <c r="B1572" t="s">
        <v>55</v>
      </c>
      <c r="C1572" t="s">
        <v>6316</v>
      </c>
      <c r="D1572">
        <v>80491.95</v>
      </c>
      <c r="E1572" t="s">
        <v>6317</v>
      </c>
      <c r="F1572">
        <v>38.71</v>
      </c>
      <c r="G1572">
        <v>1.6499999761581421</v>
      </c>
      <c r="H1572">
        <v>1001</v>
      </c>
      <c r="I1572">
        <v>0</v>
      </c>
      <c r="J1572" t="s">
        <v>6318</v>
      </c>
      <c r="K1572">
        <v>45050</v>
      </c>
      <c r="L1572">
        <v>38750</v>
      </c>
      <c r="M1572">
        <v>-13.98</v>
      </c>
      <c r="N1572">
        <v>-5.0199999999999996</v>
      </c>
      <c r="O1572">
        <v>8.8000000000000007</v>
      </c>
      <c r="P1572">
        <v>1.91</v>
      </c>
      <c r="Q1572">
        <v>-0.92</v>
      </c>
      <c r="R1572">
        <v>-10.199999999999999</v>
      </c>
      <c r="S1572">
        <v>-5.46</v>
      </c>
      <c r="T1572">
        <v>3.88</v>
      </c>
      <c r="U1572">
        <v>1.7</v>
      </c>
      <c r="V1572">
        <v>2.5099999999999998</v>
      </c>
      <c r="W1572">
        <v>2.29</v>
      </c>
      <c r="X1572">
        <v>1.51</v>
      </c>
      <c r="Y1572">
        <v>1.08</v>
      </c>
      <c r="Z1572">
        <v>1.29</v>
      </c>
      <c r="AA1572">
        <v>5.18</v>
      </c>
      <c r="AB1572">
        <v>0.76</v>
      </c>
      <c r="AC1572">
        <v>0.4</v>
      </c>
      <c r="AD1572">
        <v>6.75</v>
      </c>
      <c r="AE1572">
        <v>5.0599999999999996</v>
      </c>
      <c r="AF1572">
        <v>3.24</v>
      </c>
      <c r="AG1572" t="str">
        <f>HYPERLINK("https://finance.naver.com/item/fchart.naver?code=253450", "스튜디오드래곤 차트보기")</f>
        <v>스튜디오드래곤 차트보기</v>
      </c>
    </row>
    <row r="1573" spans="1:33" x14ac:dyDescent="0.3">
      <c r="A1573" t="s">
        <v>6319</v>
      </c>
      <c r="B1573" t="s">
        <v>55</v>
      </c>
      <c r="C1573" t="s">
        <v>6320</v>
      </c>
      <c r="D1573">
        <v>17304.759999999998</v>
      </c>
      <c r="E1573" t="s">
        <v>6321</v>
      </c>
      <c r="F1573">
        <v>0</v>
      </c>
      <c r="G1573">
        <v>1.529999971389771</v>
      </c>
      <c r="H1573">
        <v>0</v>
      </c>
      <c r="I1573">
        <v>0</v>
      </c>
      <c r="J1573" t="s">
        <v>6322</v>
      </c>
      <c r="K1573">
        <v>661</v>
      </c>
      <c r="L1573">
        <v>458</v>
      </c>
      <c r="M1573">
        <v>-30.71</v>
      </c>
      <c r="N1573">
        <v>-3.38</v>
      </c>
      <c r="O1573">
        <v>-5.95</v>
      </c>
      <c r="P1573">
        <v>-2.5299999999999998</v>
      </c>
      <c r="Q1573">
        <v>-13.64</v>
      </c>
      <c r="R1573">
        <v>-15.24</v>
      </c>
      <c r="S1573">
        <v>0.28999999999999998</v>
      </c>
      <c r="T1573">
        <v>2.93</v>
      </c>
      <c r="U1573">
        <v>1.65</v>
      </c>
      <c r="V1573">
        <v>1.65</v>
      </c>
      <c r="W1573">
        <v>4.58</v>
      </c>
      <c r="X1573">
        <v>1.53</v>
      </c>
      <c r="Y1573">
        <v>1.36</v>
      </c>
      <c r="Z1573">
        <v>1.1499999999999999</v>
      </c>
      <c r="AA1573">
        <v>3.61</v>
      </c>
      <c r="AB1573">
        <v>1.53</v>
      </c>
      <c r="AC1573">
        <v>2.98</v>
      </c>
      <c r="AD1573">
        <v>9.9600000000000009</v>
      </c>
      <c r="AE1573">
        <v>0.21</v>
      </c>
      <c r="AF1573">
        <v>3.24</v>
      </c>
      <c r="AG1573" t="str">
        <f>HYPERLINK("https://finance.naver.com/item/fchart.naver?code=043340", "에쎈테크 차트보기")</f>
        <v>에쎈테크 차트보기</v>
      </c>
    </row>
    <row r="1574" spans="1:33" x14ac:dyDescent="0.3">
      <c r="A1574" t="s">
        <v>6323</v>
      </c>
      <c r="B1574" t="s">
        <v>34</v>
      </c>
      <c r="C1574" t="s">
        <v>6324</v>
      </c>
      <c r="D1574">
        <v>3238.71</v>
      </c>
      <c r="E1574" t="s">
        <v>6325</v>
      </c>
      <c r="F1574">
        <v>0</v>
      </c>
      <c r="G1574">
        <v>0.43000000715255737</v>
      </c>
      <c r="H1574">
        <v>0</v>
      </c>
      <c r="I1574">
        <v>1.2699999809265139</v>
      </c>
      <c r="J1574" t="s">
        <v>6326</v>
      </c>
      <c r="K1574">
        <v>11200</v>
      </c>
      <c r="L1574">
        <v>11790</v>
      </c>
      <c r="M1574">
        <v>5.27</v>
      </c>
      <c r="N1574">
        <v>0.08</v>
      </c>
      <c r="O1574">
        <v>-6.83</v>
      </c>
      <c r="P1574">
        <v>2.19</v>
      </c>
      <c r="Q1574">
        <v>2.15</v>
      </c>
      <c r="R1574">
        <v>4.9400000000000004</v>
      </c>
      <c r="S1574">
        <v>0.99</v>
      </c>
      <c r="T1574">
        <v>0.51</v>
      </c>
      <c r="U1574">
        <v>0.64</v>
      </c>
      <c r="V1574">
        <v>0.84</v>
      </c>
      <c r="W1574">
        <v>1.72</v>
      </c>
      <c r="X1574">
        <v>1.54</v>
      </c>
      <c r="Y1574">
        <v>0.64</v>
      </c>
      <c r="Z1574">
        <v>0.16</v>
      </c>
      <c r="AA1574">
        <v>10.67</v>
      </c>
      <c r="AB1574">
        <v>2.61</v>
      </c>
      <c r="AC1574">
        <v>1.25</v>
      </c>
      <c r="AD1574">
        <v>3.21</v>
      </c>
      <c r="AE1574">
        <v>1.55</v>
      </c>
      <c r="AF1574">
        <v>3.2416666666666671</v>
      </c>
      <c r="AG1574" t="str">
        <f>HYPERLINK("https://finance.naver.com/item/fchart.naver?code=024090", "디씨엠 차트보기")</f>
        <v>디씨엠 차트보기</v>
      </c>
    </row>
    <row r="1575" spans="1:33" x14ac:dyDescent="0.3">
      <c r="A1575" t="s">
        <v>6327</v>
      </c>
      <c r="B1575" t="s">
        <v>55</v>
      </c>
      <c r="C1575" t="s">
        <v>6328</v>
      </c>
      <c r="D1575">
        <v>12250.29</v>
      </c>
      <c r="E1575" t="s">
        <v>6329</v>
      </c>
      <c r="F1575">
        <v>6.29</v>
      </c>
      <c r="G1575">
        <v>0.37999999523162842</v>
      </c>
      <c r="H1575">
        <v>688</v>
      </c>
      <c r="I1575">
        <v>4.619999885559082</v>
      </c>
      <c r="J1575" t="s">
        <v>6330</v>
      </c>
      <c r="K1575">
        <v>5390</v>
      </c>
      <c r="L1575">
        <v>4330</v>
      </c>
      <c r="M1575">
        <v>-19.670000000000002</v>
      </c>
      <c r="N1575">
        <v>-1.1399999999999999</v>
      </c>
      <c r="O1575">
        <v>-6.47</v>
      </c>
      <c r="P1575">
        <v>-5.66</v>
      </c>
      <c r="Q1575">
        <v>6.12</v>
      </c>
      <c r="R1575">
        <v>-0.76</v>
      </c>
      <c r="S1575">
        <v>-3.43</v>
      </c>
      <c r="T1575">
        <v>1.22</v>
      </c>
      <c r="U1575">
        <v>1.01</v>
      </c>
      <c r="V1575">
        <v>1.61</v>
      </c>
      <c r="W1575">
        <v>2.98</v>
      </c>
      <c r="X1575">
        <v>1.8</v>
      </c>
      <c r="Y1575">
        <v>0.56000000000000005</v>
      </c>
      <c r="Z1575">
        <v>0.93</v>
      </c>
      <c r="AA1575">
        <v>6.41</v>
      </c>
      <c r="AB1575">
        <v>3.52</v>
      </c>
      <c r="AC1575">
        <v>2.0499999999999998</v>
      </c>
      <c r="AD1575">
        <v>0.42</v>
      </c>
      <c r="AE1575">
        <v>6.12</v>
      </c>
      <c r="AF1575">
        <v>3.2416666666666671</v>
      </c>
      <c r="AG1575" t="str">
        <f>HYPERLINK("https://finance.naver.com/item/fchart.naver?code=093190", "빅솔론 차트보기")</f>
        <v>빅솔론 차트보기</v>
      </c>
    </row>
    <row r="1576" spans="1:33" x14ac:dyDescent="0.3">
      <c r="A1576" t="s">
        <v>6331</v>
      </c>
      <c r="B1576" t="s">
        <v>55</v>
      </c>
      <c r="C1576" t="s">
        <v>6332</v>
      </c>
      <c r="D1576">
        <v>318.62</v>
      </c>
      <c r="E1576" t="s">
        <v>6333</v>
      </c>
      <c r="F1576">
        <v>0</v>
      </c>
      <c r="G1576">
        <v>0</v>
      </c>
      <c r="H1576">
        <v>0</v>
      </c>
      <c r="I1576">
        <v>0</v>
      </c>
      <c r="J1576" t="s">
        <v>6334</v>
      </c>
      <c r="K1576">
        <v>7880</v>
      </c>
      <c r="L1576">
        <v>3430</v>
      </c>
      <c r="M1576">
        <v>-56.47</v>
      </c>
      <c r="N1576">
        <v>-3.92</v>
      </c>
      <c r="O1576">
        <v>-6.75</v>
      </c>
      <c r="P1576">
        <v>-50.13</v>
      </c>
      <c r="Q1576">
        <v>-2.57</v>
      </c>
      <c r="R1576">
        <v>6.66</v>
      </c>
      <c r="S1576">
        <v>-7.87</v>
      </c>
      <c r="T1576">
        <v>1.5</v>
      </c>
      <c r="U1576">
        <v>3.02</v>
      </c>
      <c r="V1576">
        <v>11.8</v>
      </c>
      <c r="W1576">
        <v>1.8</v>
      </c>
      <c r="X1576">
        <v>2.5299999999999998</v>
      </c>
      <c r="Y1576">
        <v>1.25</v>
      </c>
      <c r="Z1576">
        <v>2.61</v>
      </c>
      <c r="AA1576">
        <v>2.2400000000000002</v>
      </c>
      <c r="AB1576">
        <v>4.25</v>
      </c>
      <c r="AC1576">
        <v>1.43</v>
      </c>
      <c r="AD1576">
        <v>2.63</v>
      </c>
      <c r="AE1576">
        <v>6.3</v>
      </c>
      <c r="AF1576">
        <v>3.2433333333333341</v>
      </c>
      <c r="AG1576" t="str">
        <f>HYPERLINK("https://finance.naver.com/item/fchart.naver?code=021045", "대호특수강우 차트보기")</f>
        <v>대호특수강우 차트보기</v>
      </c>
    </row>
    <row r="1577" spans="1:33" x14ac:dyDescent="0.3">
      <c r="A1577" t="s">
        <v>6335</v>
      </c>
      <c r="B1577" t="s">
        <v>34</v>
      </c>
      <c r="C1577" t="s">
        <v>6336</v>
      </c>
      <c r="D1577">
        <v>61982.48</v>
      </c>
      <c r="E1577" t="s">
        <v>6337</v>
      </c>
      <c r="J1577" t="s">
        <v>6338</v>
      </c>
      <c r="K1577">
        <v>3265</v>
      </c>
      <c r="L1577">
        <v>2700</v>
      </c>
      <c r="M1577">
        <v>-17.3</v>
      </c>
      <c r="N1577">
        <v>-3.91</v>
      </c>
      <c r="O1577">
        <v>-1.72</v>
      </c>
      <c r="P1577">
        <v>-4.53</v>
      </c>
      <c r="Q1577">
        <v>-1.44</v>
      </c>
      <c r="R1577">
        <v>2.48</v>
      </c>
      <c r="S1577">
        <v>-4.26</v>
      </c>
      <c r="T1577">
        <v>0.87</v>
      </c>
      <c r="U1577">
        <v>1.1200000000000001</v>
      </c>
      <c r="V1577">
        <v>0.87</v>
      </c>
      <c r="W1577">
        <v>1.17</v>
      </c>
      <c r="X1577">
        <v>0.72</v>
      </c>
      <c r="Y1577">
        <v>1.2</v>
      </c>
      <c r="Z1577">
        <v>4.49</v>
      </c>
      <c r="AA1577">
        <v>1.54</v>
      </c>
      <c r="AB1577">
        <v>5.21</v>
      </c>
      <c r="AC1577">
        <v>1.23</v>
      </c>
      <c r="AD1577">
        <v>3.44</v>
      </c>
      <c r="AE1577">
        <v>3.55</v>
      </c>
      <c r="AF1577">
        <v>3.2433333333333341</v>
      </c>
      <c r="AG1577" t="str">
        <f>HYPERLINK("https://finance.naver.com/item/fchart.naver?code=396690", "미래에셋글로벌리츠 차트보기")</f>
        <v>미래에셋글로벌리츠 차트보기</v>
      </c>
    </row>
    <row r="1578" spans="1:33" x14ac:dyDescent="0.3">
      <c r="A1578" t="s">
        <v>6339</v>
      </c>
      <c r="B1578" t="s">
        <v>34</v>
      </c>
      <c r="C1578" t="s">
        <v>6340</v>
      </c>
      <c r="D1578">
        <v>324577.86</v>
      </c>
      <c r="E1578" t="s">
        <v>6341</v>
      </c>
      <c r="F1578">
        <v>0</v>
      </c>
      <c r="G1578">
        <v>0.30000001192092901</v>
      </c>
      <c r="H1578">
        <v>0</v>
      </c>
      <c r="I1578">
        <v>0</v>
      </c>
      <c r="J1578" t="s">
        <v>6342</v>
      </c>
      <c r="K1578">
        <v>1385</v>
      </c>
      <c r="L1578">
        <v>1256</v>
      </c>
      <c r="M1578">
        <v>-9.31</v>
      </c>
      <c r="N1578">
        <v>0.4</v>
      </c>
      <c r="O1578">
        <v>-6.41</v>
      </c>
      <c r="P1578">
        <v>-7.96</v>
      </c>
      <c r="Q1578">
        <v>25</v>
      </c>
      <c r="R1578">
        <v>-1.31</v>
      </c>
      <c r="S1578">
        <v>-6.05</v>
      </c>
      <c r="T1578">
        <v>1.72</v>
      </c>
      <c r="U1578">
        <v>1.22</v>
      </c>
      <c r="V1578">
        <v>2.81</v>
      </c>
      <c r="W1578">
        <v>5.07</v>
      </c>
      <c r="X1578">
        <v>1.1499999999999999</v>
      </c>
      <c r="Y1578">
        <v>1.19</v>
      </c>
      <c r="Z1578">
        <v>0.23</v>
      </c>
      <c r="AA1578">
        <v>5.25</v>
      </c>
      <c r="AB1578">
        <v>2.83</v>
      </c>
      <c r="AC1578">
        <v>4.93</v>
      </c>
      <c r="AD1578">
        <v>1.1399999999999999</v>
      </c>
      <c r="AE1578">
        <v>5.08</v>
      </c>
      <c r="AF1578">
        <v>3.2433333333333341</v>
      </c>
      <c r="AG1578" t="str">
        <f>HYPERLINK("https://finance.naver.com/item/fchart.naver?code=452260", "한화갤러리아 차트보기")</f>
        <v>한화갤러리아 차트보기</v>
      </c>
    </row>
    <row r="1579" spans="1:33" x14ac:dyDescent="0.3">
      <c r="A1579" t="s">
        <v>6343</v>
      </c>
      <c r="B1579" t="s">
        <v>34</v>
      </c>
      <c r="C1579" t="s">
        <v>6344</v>
      </c>
      <c r="D1579">
        <v>78406.710000000006</v>
      </c>
      <c r="E1579" t="s">
        <v>6345</v>
      </c>
      <c r="F1579">
        <v>0</v>
      </c>
      <c r="G1579">
        <v>1.6000000238418579</v>
      </c>
      <c r="H1579">
        <v>0</v>
      </c>
      <c r="I1579">
        <v>0</v>
      </c>
      <c r="J1579" t="s">
        <v>6346</v>
      </c>
      <c r="K1579">
        <v>26350</v>
      </c>
      <c r="L1579">
        <v>17200</v>
      </c>
      <c r="M1579">
        <v>-34.72</v>
      </c>
      <c r="N1579">
        <v>-12.73</v>
      </c>
      <c r="O1579">
        <v>-0.24</v>
      </c>
      <c r="P1579">
        <v>-18.87</v>
      </c>
      <c r="Q1579">
        <v>-9.59</v>
      </c>
      <c r="R1579">
        <v>2.76</v>
      </c>
      <c r="S1579">
        <v>-9.58</v>
      </c>
      <c r="T1579">
        <v>1.77</v>
      </c>
      <c r="U1579">
        <v>2.2400000000000002</v>
      </c>
      <c r="V1579">
        <v>3.18</v>
      </c>
      <c r="W1579">
        <v>4.57</v>
      </c>
      <c r="X1579">
        <v>3.42</v>
      </c>
      <c r="Y1579">
        <v>2.88</v>
      </c>
      <c r="Z1579">
        <v>7.19</v>
      </c>
      <c r="AA1579">
        <v>0.11</v>
      </c>
      <c r="AB1579">
        <v>5.93</v>
      </c>
      <c r="AC1579">
        <v>2.1</v>
      </c>
      <c r="AD1579">
        <v>0.81</v>
      </c>
      <c r="AE1579">
        <v>3.33</v>
      </c>
      <c r="AF1579">
        <v>3.2450000000000001</v>
      </c>
      <c r="AG1579" t="str">
        <f>HYPERLINK("https://finance.naver.com/item/fchart.naver?code=178920", "PI첨단소재 차트보기")</f>
        <v>PI첨단소재 차트보기</v>
      </c>
    </row>
    <row r="1580" spans="1:33" x14ac:dyDescent="0.3">
      <c r="A1580" t="s">
        <v>6347</v>
      </c>
      <c r="B1580" t="s">
        <v>34</v>
      </c>
      <c r="C1580" t="s">
        <v>6348</v>
      </c>
      <c r="D1580">
        <v>159887.57</v>
      </c>
      <c r="E1580" t="s">
        <v>6349</v>
      </c>
      <c r="F1580">
        <v>0</v>
      </c>
      <c r="G1580">
        <v>0</v>
      </c>
      <c r="H1580">
        <v>0</v>
      </c>
      <c r="I1580">
        <v>3.7100000381469731</v>
      </c>
      <c r="J1580" t="s">
        <v>6350</v>
      </c>
      <c r="K1580">
        <v>3715</v>
      </c>
      <c r="L1580">
        <v>4045</v>
      </c>
      <c r="M1580">
        <v>8.8800000000000008</v>
      </c>
      <c r="N1580">
        <v>1.38</v>
      </c>
      <c r="O1580">
        <v>4.8099999999999996</v>
      </c>
      <c r="P1580">
        <v>-2.0299999999999998</v>
      </c>
      <c r="Q1580">
        <v>2.87</v>
      </c>
      <c r="R1580">
        <v>7.74</v>
      </c>
      <c r="S1580">
        <v>0.14000000000000001</v>
      </c>
      <c r="T1580">
        <v>0.82</v>
      </c>
      <c r="U1580">
        <v>0.59</v>
      </c>
      <c r="V1580">
        <v>1.58</v>
      </c>
      <c r="W1580">
        <v>1.95</v>
      </c>
      <c r="X1580">
        <v>1.17</v>
      </c>
      <c r="Y1580">
        <v>0.52</v>
      </c>
      <c r="Z1580">
        <v>1.68</v>
      </c>
      <c r="AA1580">
        <v>8.15</v>
      </c>
      <c r="AB1580">
        <v>1.28</v>
      </c>
      <c r="AC1580">
        <v>1.47</v>
      </c>
      <c r="AD1580">
        <v>6.62</v>
      </c>
      <c r="AE1580">
        <v>0.27</v>
      </c>
      <c r="AF1580">
        <v>3.2450000000000001</v>
      </c>
      <c r="AG1580" t="str">
        <f>HYPERLINK("https://finance.naver.com/item/fchart.naver?code=00680K", "미래에셋증권2우B 차트보기")</f>
        <v>미래에셋증권2우B 차트보기</v>
      </c>
    </row>
    <row r="1581" spans="1:33" x14ac:dyDescent="0.3">
      <c r="A1581" t="s">
        <v>6351</v>
      </c>
      <c r="B1581" t="s">
        <v>55</v>
      </c>
      <c r="C1581" t="s">
        <v>6352</v>
      </c>
      <c r="D1581">
        <v>483743.52</v>
      </c>
      <c r="E1581" t="s">
        <v>6353</v>
      </c>
      <c r="F1581">
        <v>0</v>
      </c>
      <c r="G1581">
        <v>0.72000002861022949</v>
      </c>
      <c r="H1581">
        <v>0</v>
      </c>
      <c r="I1581">
        <v>0</v>
      </c>
      <c r="J1581" t="s">
        <v>6354</v>
      </c>
      <c r="K1581">
        <v>378</v>
      </c>
      <c r="L1581">
        <v>192</v>
      </c>
      <c r="M1581">
        <v>-49.21</v>
      </c>
      <c r="N1581">
        <v>-5.42</v>
      </c>
      <c r="O1581">
        <v>-14.04</v>
      </c>
      <c r="P1581">
        <v>-0.42</v>
      </c>
      <c r="Q1581">
        <v>6.33</v>
      </c>
      <c r="R1581">
        <v>-8.75</v>
      </c>
      <c r="S1581">
        <v>-27.33</v>
      </c>
      <c r="T1581">
        <v>2.25</v>
      </c>
      <c r="U1581">
        <v>1.93</v>
      </c>
      <c r="V1581">
        <v>1.84</v>
      </c>
      <c r="W1581">
        <v>5.62</v>
      </c>
      <c r="X1581">
        <v>2.13</v>
      </c>
      <c r="Y1581">
        <v>6.31</v>
      </c>
      <c r="Z1581">
        <v>2.41</v>
      </c>
      <c r="AA1581">
        <v>7.27</v>
      </c>
      <c r="AB1581">
        <v>0.23</v>
      </c>
      <c r="AC1581">
        <v>1.1299999999999999</v>
      </c>
      <c r="AD1581">
        <v>4.1100000000000003</v>
      </c>
      <c r="AE1581">
        <v>4.33</v>
      </c>
      <c r="AF1581">
        <v>3.2466666666666661</v>
      </c>
      <c r="AG1581" t="str">
        <f>HYPERLINK("https://finance.naver.com/item/fchart.naver?code=038880", "아이에이 차트보기")</f>
        <v>아이에이 차트보기</v>
      </c>
    </row>
    <row r="1582" spans="1:33" x14ac:dyDescent="0.3">
      <c r="A1582" t="s">
        <v>6355</v>
      </c>
      <c r="B1582" t="s">
        <v>55</v>
      </c>
      <c r="C1582" t="s">
        <v>6356</v>
      </c>
      <c r="D1582">
        <v>10681.19</v>
      </c>
      <c r="E1582" t="s">
        <v>6357</v>
      </c>
      <c r="F1582">
        <v>0</v>
      </c>
      <c r="G1582">
        <v>0</v>
      </c>
      <c r="H1582">
        <v>0</v>
      </c>
      <c r="I1582">
        <v>0</v>
      </c>
      <c r="J1582" t="s">
        <v>6358</v>
      </c>
      <c r="K1582">
        <v>2090</v>
      </c>
      <c r="L1582">
        <v>2065</v>
      </c>
      <c r="M1582">
        <v>-1.2</v>
      </c>
      <c r="N1582">
        <v>-0.24</v>
      </c>
      <c r="O1582">
        <v>-0.24</v>
      </c>
      <c r="P1582">
        <v>0.97</v>
      </c>
      <c r="Q1582">
        <v>-3.74</v>
      </c>
      <c r="R1582">
        <v>2.39</v>
      </c>
      <c r="S1582">
        <v>0.96</v>
      </c>
      <c r="T1582">
        <v>0.09</v>
      </c>
      <c r="U1582">
        <v>0.52</v>
      </c>
      <c r="V1582">
        <v>0.5</v>
      </c>
      <c r="W1582">
        <v>0.53</v>
      </c>
      <c r="X1582">
        <v>0.45</v>
      </c>
      <c r="Y1582">
        <v>0.47</v>
      </c>
      <c r="Z1582">
        <v>2.67</v>
      </c>
      <c r="AA1582">
        <v>0.46</v>
      </c>
      <c r="AB1582">
        <v>1.94</v>
      </c>
      <c r="AC1582">
        <v>7.06</v>
      </c>
      <c r="AD1582">
        <v>5.31</v>
      </c>
      <c r="AE1582">
        <v>2.04</v>
      </c>
      <c r="AF1582">
        <v>3.2466666666666661</v>
      </c>
      <c r="AG1582" t="str">
        <f>HYPERLINK("https://finance.naver.com/item/fchart.naver?code=469900", "하나31호스팩 차트보기")</f>
        <v>하나31호스팩 차트보기</v>
      </c>
    </row>
    <row r="1583" spans="1:33" x14ac:dyDescent="0.3">
      <c r="A1583" t="s">
        <v>6359</v>
      </c>
      <c r="B1583" t="s">
        <v>55</v>
      </c>
      <c r="C1583" t="s">
        <v>6360</v>
      </c>
      <c r="D1583">
        <v>16470.14</v>
      </c>
      <c r="E1583" t="s">
        <v>6361</v>
      </c>
      <c r="F1583">
        <v>0</v>
      </c>
      <c r="G1583">
        <v>0.97000002861022949</v>
      </c>
      <c r="H1583">
        <v>0</v>
      </c>
      <c r="I1583">
        <v>0</v>
      </c>
      <c r="J1583" t="s">
        <v>6362</v>
      </c>
      <c r="K1583">
        <v>21100</v>
      </c>
      <c r="L1583">
        <v>13490</v>
      </c>
      <c r="M1583">
        <v>-36.07</v>
      </c>
      <c r="N1583">
        <v>0.67</v>
      </c>
      <c r="O1583">
        <v>-5.42</v>
      </c>
      <c r="P1583">
        <v>6.94</v>
      </c>
      <c r="Q1583">
        <v>-6.46</v>
      </c>
      <c r="R1583">
        <v>-20.39</v>
      </c>
      <c r="S1583">
        <v>-9.17</v>
      </c>
      <c r="T1583">
        <v>2.73</v>
      </c>
      <c r="U1583">
        <v>2.62</v>
      </c>
      <c r="V1583">
        <v>3.53</v>
      </c>
      <c r="W1583">
        <v>4.51</v>
      </c>
      <c r="X1583">
        <v>2.25</v>
      </c>
      <c r="Y1583">
        <v>1.94</v>
      </c>
      <c r="Z1583">
        <v>0.25</v>
      </c>
      <c r="AA1583">
        <v>2.0699999999999998</v>
      </c>
      <c r="AB1583">
        <v>1.97</v>
      </c>
      <c r="AC1583">
        <v>1.43</v>
      </c>
      <c r="AD1583">
        <v>9.06</v>
      </c>
      <c r="AE1583">
        <v>4.7300000000000004</v>
      </c>
      <c r="AF1583">
        <v>3.2516666666666669</v>
      </c>
      <c r="AG1583" t="str">
        <f>HYPERLINK("https://finance.naver.com/item/fchart.naver?code=042600", "새로닉스 차트보기")</f>
        <v>새로닉스 차트보기</v>
      </c>
    </row>
    <row r="1584" spans="1:33" x14ac:dyDescent="0.3">
      <c r="A1584" t="s">
        <v>6363</v>
      </c>
      <c r="B1584" t="s">
        <v>34</v>
      </c>
      <c r="C1584" t="s">
        <v>6364</v>
      </c>
      <c r="D1584">
        <v>7843.62</v>
      </c>
      <c r="E1584" t="s">
        <v>6365</v>
      </c>
      <c r="F1584">
        <v>0</v>
      </c>
      <c r="G1584">
        <v>0.1800000071525574</v>
      </c>
      <c r="H1584">
        <v>0</v>
      </c>
      <c r="I1584">
        <v>0</v>
      </c>
      <c r="J1584" t="s">
        <v>6366</v>
      </c>
      <c r="K1584">
        <v>1878</v>
      </c>
      <c r="L1584">
        <v>1401</v>
      </c>
      <c r="M1584">
        <v>-25.4</v>
      </c>
      <c r="N1584">
        <v>-4.24</v>
      </c>
      <c r="O1584">
        <v>-7.17</v>
      </c>
      <c r="P1584">
        <v>0.25</v>
      </c>
      <c r="Q1584">
        <v>-7.62</v>
      </c>
      <c r="R1584">
        <v>-2.4</v>
      </c>
      <c r="S1584">
        <v>-5.97</v>
      </c>
      <c r="T1584">
        <v>1.94</v>
      </c>
      <c r="U1584">
        <v>0.87</v>
      </c>
      <c r="V1584">
        <v>1.95</v>
      </c>
      <c r="W1584">
        <v>2.99</v>
      </c>
      <c r="X1584">
        <v>1.35</v>
      </c>
      <c r="Y1584">
        <v>1.29</v>
      </c>
      <c r="Z1584">
        <v>2.19</v>
      </c>
      <c r="AA1584">
        <v>8.24</v>
      </c>
      <c r="AB1584">
        <v>0.13</v>
      </c>
      <c r="AC1584">
        <v>2.5499999999999998</v>
      </c>
      <c r="AD1584">
        <v>1.78</v>
      </c>
      <c r="AE1584">
        <v>4.63</v>
      </c>
      <c r="AF1584">
        <v>3.253333333333333</v>
      </c>
      <c r="AG1584" t="str">
        <f>HYPERLINK("https://finance.naver.com/item/fchart.naver?code=002690", "동일제강 차트보기")</f>
        <v>동일제강 차트보기</v>
      </c>
    </row>
    <row r="1585" spans="1:33" x14ac:dyDescent="0.3">
      <c r="A1585" t="s">
        <v>6367</v>
      </c>
      <c r="B1585" t="s">
        <v>55</v>
      </c>
      <c r="C1585" t="s">
        <v>6368</v>
      </c>
      <c r="D1585">
        <v>138018.1</v>
      </c>
      <c r="E1585" t="s">
        <v>6369</v>
      </c>
      <c r="F1585">
        <v>6.4</v>
      </c>
      <c r="G1585">
        <v>0.55000001192092896</v>
      </c>
      <c r="H1585">
        <v>213</v>
      </c>
      <c r="I1585">
        <v>1.830000042915344</v>
      </c>
      <c r="J1585" t="s">
        <v>6370</v>
      </c>
      <c r="K1585">
        <v>1450</v>
      </c>
      <c r="L1585">
        <v>1363</v>
      </c>
      <c r="M1585">
        <v>-6</v>
      </c>
      <c r="N1585">
        <v>3.65</v>
      </c>
      <c r="O1585">
        <v>18.809999999999999</v>
      </c>
      <c r="P1585">
        <v>-0.53</v>
      </c>
      <c r="Q1585">
        <v>-8.5500000000000007</v>
      </c>
      <c r="R1585">
        <v>-4.43</v>
      </c>
      <c r="S1585">
        <v>-6.41</v>
      </c>
      <c r="T1585">
        <v>1.85</v>
      </c>
      <c r="U1585">
        <v>2.68</v>
      </c>
      <c r="V1585">
        <v>2.04</v>
      </c>
      <c r="W1585">
        <v>3.56</v>
      </c>
      <c r="X1585">
        <v>1.55</v>
      </c>
      <c r="Y1585">
        <v>1.28</v>
      </c>
      <c r="Z1585">
        <v>1.97</v>
      </c>
      <c r="AA1585">
        <v>7.02</v>
      </c>
      <c r="AB1585">
        <v>0.26</v>
      </c>
      <c r="AC1585">
        <v>2.4</v>
      </c>
      <c r="AD1585">
        <v>2.86</v>
      </c>
      <c r="AE1585">
        <v>5.01</v>
      </c>
      <c r="AF1585">
        <v>3.253333333333333</v>
      </c>
      <c r="AG1585" t="str">
        <f>HYPERLINK("https://finance.naver.com/item/fchart.naver?code=310870", "디와이씨 차트보기")</f>
        <v>디와이씨 차트보기</v>
      </c>
    </row>
    <row r="1586" spans="1:33" x14ac:dyDescent="0.3">
      <c r="A1586" t="s">
        <v>6371</v>
      </c>
      <c r="B1586" t="s">
        <v>34</v>
      </c>
      <c r="C1586" t="s">
        <v>6372</v>
      </c>
      <c r="D1586">
        <v>431686.9</v>
      </c>
      <c r="E1586" t="s">
        <v>6373</v>
      </c>
      <c r="J1586" t="s">
        <v>6374</v>
      </c>
      <c r="K1586">
        <v>2785</v>
      </c>
      <c r="L1586">
        <v>1998</v>
      </c>
      <c r="M1586">
        <v>-28.26</v>
      </c>
      <c r="N1586">
        <v>-8.35</v>
      </c>
      <c r="O1586">
        <v>-8.56</v>
      </c>
      <c r="P1586">
        <v>-5.2</v>
      </c>
      <c r="Q1586">
        <v>-0.2</v>
      </c>
      <c r="R1586">
        <v>-5.37</v>
      </c>
      <c r="S1586">
        <v>-6.51</v>
      </c>
      <c r="T1586">
        <v>1.9</v>
      </c>
      <c r="U1586">
        <v>1.96</v>
      </c>
      <c r="V1586">
        <v>1.91</v>
      </c>
      <c r="W1586">
        <v>3.12</v>
      </c>
      <c r="X1586">
        <v>1.3</v>
      </c>
      <c r="Y1586">
        <v>1.69</v>
      </c>
      <c r="Z1586">
        <v>4.3899999999999997</v>
      </c>
      <c r="AA1586">
        <v>4.37</v>
      </c>
      <c r="AB1586">
        <v>2.72</v>
      </c>
      <c r="AC1586">
        <v>0.06</v>
      </c>
      <c r="AD1586">
        <v>4.13</v>
      </c>
      <c r="AE1586">
        <v>3.85</v>
      </c>
      <c r="AF1586">
        <v>3.2533333333333339</v>
      </c>
      <c r="AG1586" t="str">
        <f>HYPERLINK("https://finance.naver.com/item/fchart.naver?code=900140", "엘브이엠씨홀딩스 차트보기")</f>
        <v>엘브이엠씨홀딩스 차트보기</v>
      </c>
    </row>
    <row r="1587" spans="1:33" x14ac:dyDescent="0.3">
      <c r="A1587" t="s">
        <v>6375</v>
      </c>
      <c r="B1587" t="s">
        <v>34</v>
      </c>
      <c r="C1587" t="s">
        <v>6376</v>
      </c>
      <c r="D1587">
        <v>153312.14000000001</v>
      </c>
      <c r="E1587" t="s">
        <v>6377</v>
      </c>
      <c r="F1587">
        <v>23.65</v>
      </c>
      <c r="G1587">
        <v>0.57999998331069946</v>
      </c>
      <c r="H1587">
        <v>57</v>
      </c>
      <c r="I1587">
        <v>0</v>
      </c>
      <c r="J1587" t="s">
        <v>6378</v>
      </c>
      <c r="K1587">
        <v>1430</v>
      </c>
      <c r="L1587">
        <v>1348</v>
      </c>
      <c r="M1587">
        <v>-5.73</v>
      </c>
      <c r="N1587">
        <v>5.81</v>
      </c>
      <c r="O1587">
        <v>-2.76</v>
      </c>
      <c r="P1587">
        <v>-6.94</v>
      </c>
      <c r="Q1587">
        <v>-5.52</v>
      </c>
      <c r="R1587">
        <v>16.13</v>
      </c>
      <c r="S1587">
        <v>-14.03</v>
      </c>
      <c r="T1587">
        <v>3.09</v>
      </c>
      <c r="U1587">
        <v>1.73</v>
      </c>
      <c r="V1587">
        <v>2.09</v>
      </c>
      <c r="W1587">
        <v>3.31</v>
      </c>
      <c r="X1587">
        <v>3.76</v>
      </c>
      <c r="Y1587">
        <v>2.0699999999999998</v>
      </c>
      <c r="Z1587">
        <v>1.88</v>
      </c>
      <c r="AA1587">
        <v>1.6</v>
      </c>
      <c r="AB1587">
        <v>3.32</v>
      </c>
      <c r="AC1587">
        <v>1.67</v>
      </c>
      <c r="AD1587">
        <v>4.29</v>
      </c>
      <c r="AE1587">
        <v>6.78</v>
      </c>
      <c r="AF1587">
        <v>3.2566666666666659</v>
      </c>
      <c r="AG1587" t="str">
        <f>HYPERLINK("https://finance.naver.com/item/fchart.naver?code=013360", "일성건설 차트보기")</f>
        <v>일성건설 차트보기</v>
      </c>
    </row>
    <row r="1588" spans="1:33" x14ac:dyDescent="0.3">
      <c r="A1588" t="s">
        <v>6379</v>
      </c>
      <c r="B1588" t="s">
        <v>55</v>
      </c>
      <c r="C1588" t="s">
        <v>6380</v>
      </c>
      <c r="D1588">
        <v>95244.71</v>
      </c>
      <c r="E1588" t="s">
        <v>6381</v>
      </c>
      <c r="F1588">
        <v>19.63</v>
      </c>
      <c r="G1588">
        <v>1.120000004768372</v>
      </c>
      <c r="H1588">
        <v>80</v>
      </c>
      <c r="I1588">
        <v>1.2699999809265139</v>
      </c>
      <c r="J1588" t="s">
        <v>6382</v>
      </c>
      <c r="K1588">
        <v>2085</v>
      </c>
      <c r="L1588">
        <v>1570</v>
      </c>
      <c r="M1588">
        <v>-24.7</v>
      </c>
      <c r="N1588">
        <v>1.55</v>
      </c>
      <c r="O1588">
        <v>-6.03</v>
      </c>
      <c r="P1588">
        <v>-2.5099999999999998</v>
      </c>
      <c r="Q1588">
        <v>-9.49</v>
      </c>
      <c r="R1588">
        <v>-6.54</v>
      </c>
      <c r="S1588">
        <v>-4.66</v>
      </c>
      <c r="T1588">
        <v>0.97</v>
      </c>
      <c r="U1588">
        <v>1.02</v>
      </c>
      <c r="V1588">
        <v>1.91</v>
      </c>
      <c r="W1588">
        <v>3.73</v>
      </c>
      <c r="X1588">
        <v>0.95</v>
      </c>
      <c r="Y1588">
        <v>3.55</v>
      </c>
      <c r="Z1588">
        <v>1.6</v>
      </c>
      <c r="AA1588">
        <v>5.91</v>
      </c>
      <c r="AB1588">
        <v>1.31</v>
      </c>
      <c r="AC1588">
        <v>2.54</v>
      </c>
      <c r="AD1588">
        <v>6.88</v>
      </c>
      <c r="AE1588">
        <v>1.31</v>
      </c>
      <c r="AF1588">
        <v>3.2583333333333329</v>
      </c>
      <c r="AG1588" t="str">
        <f>HYPERLINK("https://finance.naver.com/item/fchart.naver?code=289080", "SV인베스트먼트 차트보기")</f>
        <v>SV인베스트먼트 차트보기</v>
      </c>
    </row>
    <row r="1589" spans="1:33" x14ac:dyDescent="0.3">
      <c r="A1589" t="s">
        <v>6383</v>
      </c>
      <c r="B1589" t="s">
        <v>34</v>
      </c>
      <c r="C1589" t="s">
        <v>6384</v>
      </c>
      <c r="D1589">
        <v>195059.05</v>
      </c>
      <c r="E1589" t="s">
        <v>6385</v>
      </c>
      <c r="F1589">
        <v>14.49</v>
      </c>
      <c r="G1589">
        <v>0.64999997615814209</v>
      </c>
      <c r="H1589">
        <v>686</v>
      </c>
      <c r="I1589">
        <v>2.5199999809265141</v>
      </c>
      <c r="J1589" t="s">
        <v>6386</v>
      </c>
      <c r="K1589">
        <v>13270</v>
      </c>
      <c r="L1589">
        <v>9940</v>
      </c>
      <c r="M1589">
        <v>-25.09</v>
      </c>
      <c r="N1589">
        <v>-5.78</v>
      </c>
      <c r="O1589">
        <v>-5.92</v>
      </c>
      <c r="P1589">
        <v>-7.92</v>
      </c>
      <c r="Q1589">
        <v>9.19</v>
      </c>
      <c r="R1589">
        <v>-17.34</v>
      </c>
      <c r="S1589">
        <v>2.1</v>
      </c>
      <c r="T1589">
        <v>2.63</v>
      </c>
      <c r="U1589">
        <v>1.99</v>
      </c>
      <c r="V1589">
        <v>2.59</v>
      </c>
      <c r="W1589">
        <v>8.1300000000000008</v>
      </c>
      <c r="X1589">
        <v>1.88</v>
      </c>
      <c r="Y1589">
        <v>2.16</v>
      </c>
      <c r="Z1589">
        <v>2.2000000000000002</v>
      </c>
      <c r="AA1589">
        <v>2.97</v>
      </c>
      <c r="AB1589">
        <v>3.06</v>
      </c>
      <c r="AC1589">
        <v>1.1299999999999999</v>
      </c>
      <c r="AD1589">
        <v>9.2200000000000006</v>
      </c>
      <c r="AE1589">
        <v>0.97</v>
      </c>
      <c r="AF1589">
        <v>3.2583333333333329</v>
      </c>
      <c r="AG1589" t="str">
        <f>HYPERLINK("https://finance.naver.com/item/fchart.naver?code=161000", "애경케미칼 차트보기")</f>
        <v>애경케미칼 차트보기</v>
      </c>
    </row>
    <row r="1590" spans="1:33" x14ac:dyDescent="0.3">
      <c r="A1590" t="s">
        <v>6387</v>
      </c>
      <c r="B1590" t="s">
        <v>55</v>
      </c>
      <c r="C1590" t="s">
        <v>6388</v>
      </c>
      <c r="D1590">
        <v>15416</v>
      </c>
      <c r="E1590" t="s">
        <v>6389</v>
      </c>
      <c r="F1590">
        <v>29.77</v>
      </c>
      <c r="G1590">
        <v>1.2100000381469731</v>
      </c>
      <c r="H1590">
        <v>155</v>
      </c>
      <c r="I1590">
        <v>0</v>
      </c>
      <c r="J1590" t="s">
        <v>6390</v>
      </c>
      <c r="K1590">
        <v>7000</v>
      </c>
      <c r="L1590">
        <v>4615</v>
      </c>
      <c r="M1590">
        <v>-34.07</v>
      </c>
      <c r="N1590">
        <v>-1.6</v>
      </c>
      <c r="O1590">
        <v>-6.3</v>
      </c>
      <c r="P1590">
        <v>3.07</v>
      </c>
      <c r="Q1590">
        <v>-8.2100000000000009</v>
      </c>
      <c r="R1590">
        <v>-11.15</v>
      </c>
      <c r="S1590">
        <v>-10.67</v>
      </c>
      <c r="T1590">
        <v>1.7</v>
      </c>
      <c r="U1590">
        <v>1.74</v>
      </c>
      <c r="V1590">
        <v>1.73</v>
      </c>
      <c r="W1590">
        <v>4.3</v>
      </c>
      <c r="X1590">
        <v>1.58</v>
      </c>
      <c r="Y1590">
        <v>2.5099999999999998</v>
      </c>
      <c r="Z1590">
        <v>0.94</v>
      </c>
      <c r="AA1590">
        <v>3.62</v>
      </c>
      <c r="AB1590">
        <v>1.77</v>
      </c>
      <c r="AC1590">
        <v>1.91</v>
      </c>
      <c r="AD1590">
        <v>7.06</v>
      </c>
      <c r="AE1590">
        <v>4.25</v>
      </c>
      <c r="AF1590">
        <v>3.2583333333333329</v>
      </c>
      <c r="AG1590" t="str">
        <f>HYPERLINK("https://finance.naver.com/item/fchart.naver?code=376980", "원티드랩 차트보기")</f>
        <v>원티드랩 차트보기</v>
      </c>
    </row>
    <row r="1591" spans="1:33" x14ac:dyDescent="0.3">
      <c r="A1591" t="s">
        <v>6391</v>
      </c>
      <c r="B1591" t="s">
        <v>34</v>
      </c>
      <c r="C1591" t="s">
        <v>6392</v>
      </c>
      <c r="D1591">
        <v>274716.57</v>
      </c>
      <c r="E1591" t="s">
        <v>6393</v>
      </c>
      <c r="F1591">
        <v>5.65</v>
      </c>
      <c r="G1591">
        <v>0.41999998688697809</v>
      </c>
      <c r="H1591">
        <v>1405</v>
      </c>
      <c r="I1591">
        <v>6.8000001907348633</v>
      </c>
      <c r="J1591" t="s">
        <v>6394</v>
      </c>
      <c r="K1591">
        <v>6730</v>
      </c>
      <c r="L1591">
        <v>7940</v>
      </c>
      <c r="M1591">
        <v>17.98</v>
      </c>
      <c r="N1591">
        <v>-0.69</v>
      </c>
      <c r="O1591">
        <v>13.6</v>
      </c>
      <c r="P1591">
        <v>-6.69</v>
      </c>
      <c r="Q1591">
        <v>1.2</v>
      </c>
      <c r="R1591">
        <v>4.92</v>
      </c>
      <c r="S1591">
        <v>-1.1200000000000001</v>
      </c>
      <c r="T1591">
        <v>0.83</v>
      </c>
      <c r="U1591">
        <v>1.3</v>
      </c>
      <c r="V1591">
        <v>2.0299999999999998</v>
      </c>
      <c r="W1591">
        <v>1.72</v>
      </c>
      <c r="X1591">
        <v>1.45</v>
      </c>
      <c r="Y1591">
        <v>1.27</v>
      </c>
      <c r="Z1591">
        <v>0.83</v>
      </c>
      <c r="AA1591">
        <v>10.46</v>
      </c>
      <c r="AB1591">
        <v>3.3</v>
      </c>
      <c r="AC1591">
        <v>0.7</v>
      </c>
      <c r="AD1591">
        <v>3.39</v>
      </c>
      <c r="AE1591">
        <v>0.88</v>
      </c>
      <c r="AF1591">
        <v>3.26</v>
      </c>
      <c r="AG1591" t="str">
        <f>HYPERLINK("https://finance.naver.com/item/fchart.naver?code=003690", "코리안리 차트보기")</f>
        <v>코리안리 차트보기</v>
      </c>
    </row>
    <row r="1592" spans="1:33" x14ac:dyDescent="0.3">
      <c r="A1592" t="s">
        <v>6395</v>
      </c>
      <c r="B1592" t="s">
        <v>55</v>
      </c>
      <c r="C1592" t="s">
        <v>6396</v>
      </c>
      <c r="D1592">
        <v>3301.05</v>
      </c>
      <c r="E1592" t="s">
        <v>6397</v>
      </c>
      <c r="F1592">
        <v>6.71</v>
      </c>
      <c r="G1592">
        <v>0.43999999761581421</v>
      </c>
      <c r="H1592">
        <v>544</v>
      </c>
      <c r="I1592">
        <v>0</v>
      </c>
      <c r="J1592" t="s">
        <v>6398</v>
      </c>
      <c r="K1592">
        <v>4705</v>
      </c>
      <c r="L1592">
        <v>3650</v>
      </c>
      <c r="M1592">
        <v>-22.42</v>
      </c>
      <c r="N1592">
        <v>-7.01</v>
      </c>
      <c r="O1592">
        <v>-7.14</v>
      </c>
      <c r="P1592">
        <v>-0.94</v>
      </c>
      <c r="Q1592">
        <v>-1.82</v>
      </c>
      <c r="R1592">
        <v>-2.13</v>
      </c>
      <c r="S1592">
        <v>-6.97</v>
      </c>
      <c r="T1592">
        <v>1.91</v>
      </c>
      <c r="U1592">
        <v>1.24</v>
      </c>
      <c r="V1592">
        <v>1.04</v>
      </c>
      <c r="W1592">
        <v>3.16</v>
      </c>
      <c r="X1592">
        <v>1.82</v>
      </c>
      <c r="Y1592">
        <v>0.93</v>
      </c>
      <c r="Z1592">
        <v>3.67</v>
      </c>
      <c r="AA1592">
        <v>5.76</v>
      </c>
      <c r="AB1592">
        <v>0.9</v>
      </c>
      <c r="AC1592">
        <v>0.57999999999999996</v>
      </c>
      <c r="AD1592">
        <v>1.17</v>
      </c>
      <c r="AE1592">
        <v>7.49</v>
      </c>
      <c r="AF1592">
        <v>3.2616666666666672</v>
      </c>
      <c r="AG1592" t="str">
        <f>HYPERLINK("https://finance.naver.com/item/fchart.naver?code=054410", "케이피티유 차트보기")</f>
        <v>케이피티유 차트보기</v>
      </c>
    </row>
    <row r="1593" spans="1:33" x14ac:dyDescent="0.3">
      <c r="A1593" t="s">
        <v>6399</v>
      </c>
      <c r="B1593" t="s">
        <v>34</v>
      </c>
      <c r="C1593" t="s">
        <v>6400</v>
      </c>
      <c r="D1593">
        <v>9490.24</v>
      </c>
      <c r="E1593" t="s">
        <v>6401</v>
      </c>
      <c r="F1593">
        <v>5.96</v>
      </c>
      <c r="G1593">
        <v>0.73000001907348633</v>
      </c>
      <c r="H1593">
        <v>35241</v>
      </c>
      <c r="I1593">
        <v>3.809999942779541</v>
      </c>
      <c r="J1593" t="s">
        <v>6402</v>
      </c>
      <c r="K1593">
        <v>165700</v>
      </c>
      <c r="L1593">
        <v>210000</v>
      </c>
      <c r="M1593">
        <v>26.74</v>
      </c>
      <c r="N1593">
        <v>5.42</v>
      </c>
      <c r="O1593">
        <v>17.47</v>
      </c>
      <c r="P1593">
        <v>-1.28</v>
      </c>
      <c r="Q1593">
        <v>-3.7</v>
      </c>
      <c r="R1593">
        <v>1.64</v>
      </c>
      <c r="S1593">
        <v>-8.24</v>
      </c>
      <c r="T1593">
        <v>2.41</v>
      </c>
      <c r="U1593">
        <v>1.67</v>
      </c>
      <c r="V1593">
        <v>1.53</v>
      </c>
      <c r="W1593">
        <v>1.76</v>
      </c>
      <c r="X1593">
        <v>1.28</v>
      </c>
      <c r="Y1593">
        <v>3.11</v>
      </c>
      <c r="Z1593">
        <v>2.25</v>
      </c>
      <c r="AA1593">
        <v>10.46</v>
      </c>
      <c r="AB1593">
        <v>0.84</v>
      </c>
      <c r="AC1593">
        <v>2.1</v>
      </c>
      <c r="AD1593">
        <v>1.28</v>
      </c>
      <c r="AE1593">
        <v>2.65</v>
      </c>
      <c r="AF1593">
        <v>3.2633333333333332</v>
      </c>
      <c r="AG1593" t="str">
        <f>HYPERLINK("https://finance.naver.com/item/fchart.naver?code=018670", "SK가스 차트보기")</f>
        <v>SK가스 차트보기</v>
      </c>
    </row>
    <row r="1594" spans="1:33" x14ac:dyDescent="0.3">
      <c r="A1594" t="s">
        <v>6403</v>
      </c>
      <c r="B1594" t="s">
        <v>34</v>
      </c>
      <c r="C1594" t="s">
        <v>6404</v>
      </c>
      <c r="D1594">
        <v>113003</v>
      </c>
      <c r="E1594" t="s">
        <v>6405</v>
      </c>
      <c r="F1594">
        <v>123.79</v>
      </c>
      <c r="G1594">
        <v>0.49000000953674322</v>
      </c>
      <c r="H1594">
        <v>66</v>
      </c>
      <c r="I1594">
        <v>1.220000028610229</v>
      </c>
      <c r="J1594" t="s">
        <v>6406</v>
      </c>
      <c r="K1594">
        <v>12980</v>
      </c>
      <c r="L1594">
        <v>8170</v>
      </c>
      <c r="M1594">
        <v>-37.06</v>
      </c>
      <c r="N1594">
        <v>-2.04</v>
      </c>
      <c r="O1594">
        <v>-4.6900000000000004</v>
      </c>
      <c r="P1594">
        <v>-3.25</v>
      </c>
      <c r="Q1594">
        <v>-9.17</v>
      </c>
      <c r="R1594">
        <v>-9.34</v>
      </c>
      <c r="S1594">
        <v>-10.76</v>
      </c>
      <c r="T1594">
        <v>1.48</v>
      </c>
      <c r="U1594">
        <v>1.66</v>
      </c>
      <c r="V1594">
        <v>2.0099999999999998</v>
      </c>
      <c r="W1594">
        <v>2.82</v>
      </c>
      <c r="X1594">
        <v>2.09</v>
      </c>
      <c r="Y1594">
        <v>1.78</v>
      </c>
      <c r="Z1594">
        <v>1.38</v>
      </c>
      <c r="AA1594">
        <v>2.83</v>
      </c>
      <c r="AB1594">
        <v>1.62</v>
      </c>
      <c r="AC1594">
        <v>3.25</v>
      </c>
      <c r="AD1594">
        <v>4.47</v>
      </c>
      <c r="AE1594">
        <v>6.04</v>
      </c>
      <c r="AF1594">
        <v>3.2650000000000001</v>
      </c>
      <c r="AG1594" t="str">
        <f>HYPERLINK("https://finance.naver.com/item/fchart.naver?code=006220", "제주은행 차트보기")</f>
        <v>제주은행 차트보기</v>
      </c>
    </row>
    <row r="1595" spans="1:33" x14ac:dyDescent="0.3">
      <c r="A1595" t="s">
        <v>6407</v>
      </c>
      <c r="B1595" t="s">
        <v>34</v>
      </c>
      <c r="C1595" t="s">
        <v>6408</v>
      </c>
      <c r="D1595">
        <v>46507.14</v>
      </c>
      <c r="E1595" t="s">
        <v>6409</v>
      </c>
      <c r="F1595">
        <v>5.15</v>
      </c>
      <c r="G1595">
        <v>0.62999999523162842</v>
      </c>
      <c r="H1595">
        <v>871</v>
      </c>
      <c r="I1595">
        <v>2.9000000953674321</v>
      </c>
      <c r="J1595" t="s">
        <v>6410</v>
      </c>
      <c r="K1595">
        <v>5660</v>
      </c>
      <c r="L1595">
        <v>4485</v>
      </c>
      <c r="M1595">
        <v>-20.76</v>
      </c>
      <c r="N1595">
        <v>-0.22</v>
      </c>
      <c r="O1595">
        <v>3.64</v>
      </c>
      <c r="P1595">
        <v>-4.72</v>
      </c>
      <c r="Q1595">
        <v>-8.0399999999999991</v>
      </c>
      <c r="R1595">
        <v>-7.05</v>
      </c>
      <c r="S1595">
        <v>-6.34</v>
      </c>
      <c r="T1595">
        <v>1.02</v>
      </c>
      <c r="U1595">
        <v>0.98</v>
      </c>
      <c r="V1595">
        <v>1.64</v>
      </c>
      <c r="W1595">
        <v>3.67</v>
      </c>
      <c r="X1595">
        <v>1.1499999999999999</v>
      </c>
      <c r="Y1595">
        <v>1.42</v>
      </c>
      <c r="Z1595">
        <v>0.22</v>
      </c>
      <c r="AA1595">
        <v>3.71</v>
      </c>
      <c r="AB1595">
        <v>2.88</v>
      </c>
      <c r="AC1595">
        <v>2.19</v>
      </c>
      <c r="AD1595">
        <v>6.13</v>
      </c>
      <c r="AE1595">
        <v>4.46</v>
      </c>
      <c r="AF1595">
        <v>3.2650000000000001</v>
      </c>
      <c r="AG1595" t="str">
        <f>HYPERLINK("https://finance.naver.com/item/fchart.naver?code=014580", "태경비케이 차트보기")</f>
        <v>태경비케이 차트보기</v>
      </c>
    </row>
    <row r="1596" spans="1:33" x14ac:dyDescent="0.3">
      <c r="A1596" t="s">
        <v>6411</v>
      </c>
      <c r="B1596" t="s">
        <v>55</v>
      </c>
      <c r="C1596" t="s">
        <v>6412</v>
      </c>
      <c r="D1596">
        <v>1454476.62</v>
      </c>
      <c r="E1596" t="s">
        <v>6413</v>
      </c>
      <c r="F1596">
        <v>0</v>
      </c>
      <c r="G1596">
        <v>2.559999942779541</v>
      </c>
      <c r="H1596">
        <v>0</v>
      </c>
      <c r="I1596">
        <v>0</v>
      </c>
      <c r="J1596" t="s">
        <v>6414</v>
      </c>
      <c r="K1596">
        <v>881</v>
      </c>
      <c r="L1596">
        <v>611</v>
      </c>
      <c r="M1596">
        <v>-30.65</v>
      </c>
      <c r="N1596">
        <v>-11.45</v>
      </c>
      <c r="O1596">
        <v>8.1300000000000008</v>
      </c>
      <c r="P1596">
        <v>-19.899999999999999</v>
      </c>
      <c r="Q1596">
        <v>9.01</v>
      </c>
      <c r="R1596">
        <v>-11.21</v>
      </c>
      <c r="S1596">
        <v>16.07</v>
      </c>
      <c r="T1596">
        <v>5.15</v>
      </c>
      <c r="U1596">
        <v>3.56</v>
      </c>
      <c r="V1596">
        <v>3.22</v>
      </c>
      <c r="W1596">
        <v>4.4000000000000004</v>
      </c>
      <c r="X1596">
        <v>3.03</v>
      </c>
      <c r="Y1596">
        <v>5.08</v>
      </c>
      <c r="Z1596">
        <v>2.2200000000000002</v>
      </c>
      <c r="AA1596">
        <v>2.2799999999999998</v>
      </c>
      <c r="AB1596">
        <v>6.18</v>
      </c>
      <c r="AC1596">
        <v>2.0499999999999998</v>
      </c>
      <c r="AD1596">
        <v>3.7</v>
      </c>
      <c r="AE1596">
        <v>3.16</v>
      </c>
      <c r="AF1596">
        <v>3.2650000000000001</v>
      </c>
      <c r="AG1596" t="str">
        <f>HYPERLINK("https://finance.naver.com/item/fchart.naver?code=040350", "크레오에스지 차트보기")</f>
        <v>크레오에스지 차트보기</v>
      </c>
    </row>
    <row r="1597" spans="1:33" x14ac:dyDescent="0.3">
      <c r="A1597" t="s">
        <v>6415</v>
      </c>
      <c r="B1597" t="s">
        <v>34</v>
      </c>
      <c r="C1597" t="s">
        <v>6416</v>
      </c>
      <c r="D1597">
        <v>1083752.67</v>
      </c>
      <c r="E1597" t="s">
        <v>6417</v>
      </c>
      <c r="F1597">
        <v>0</v>
      </c>
      <c r="G1597">
        <v>0.98000001907348633</v>
      </c>
      <c r="H1597">
        <v>0</v>
      </c>
      <c r="I1597">
        <v>0</v>
      </c>
      <c r="J1597" t="s">
        <v>6418</v>
      </c>
      <c r="K1597">
        <v>2050</v>
      </c>
      <c r="L1597">
        <v>1626</v>
      </c>
      <c r="M1597">
        <v>-20.68</v>
      </c>
      <c r="N1597">
        <v>-4.63</v>
      </c>
      <c r="O1597">
        <v>2.37</v>
      </c>
      <c r="P1597">
        <v>2.91</v>
      </c>
      <c r="Q1597">
        <v>-14.6</v>
      </c>
      <c r="R1597">
        <v>2.5</v>
      </c>
      <c r="S1597">
        <v>-10.41</v>
      </c>
      <c r="T1597">
        <v>0.86</v>
      </c>
      <c r="U1597">
        <v>3.16</v>
      </c>
      <c r="V1597">
        <v>2.2000000000000002</v>
      </c>
      <c r="W1597">
        <v>3.38</v>
      </c>
      <c r="X1597">
        <v>2.23</v>
      </c>
      <c r="Y1597">
        <v>1.55</v>
      </c>
      <c r="Z1597">
        <v>5.38</v>
      </c>
      <c r="AA1597">
        <v>0.75</v>
      </c>
      <c r="AB1597">
        <v>1.32</v>
      </c>
      <c r="AC1597">
        <v>4.32</v>
      </c>
      <c r="AD1597">
        <v>1.1200000000000001</v>
      </c>
      <c r="AE1597">
        <v>6.72</v>
      </c>
      <c r="AF1597">
        <v>3.2683333333333331</v>
      </c>
      <c r="AG1597" t="str">
        <f>HYPERLINK("https://finance.naver.com/item/fchart.naver?code=084680", "이월드 차트보기")</f>
        <v>이월드 차트보기</v>
      </c>
    </row>
    <row r="1598" spans="1:33" x14ac:dyDescent="0.3">
      <c r="A1598" t="s">
        <v>6419</v>
      </c>
      <c r="B1598" t="s">
        <v>55</v>
      </c>
      <c r="C1598" t="s">
        <v>6420</v>
      </c>
      <c r="D1598">
        <v>70820.289999999994</v>
      </c>
      <c r="E1598" t="s">
        <v>6421</v>
      </c>
      <c r="F1598">
        <v>175.39</v>
      </c>
      <c r="G1598">
        <v>0.92000001668930054</v>
      </c>
      <c r="H1598">
        <v>89</v>
      </c>
      <c r="I1598">
        <v>3.2000000476837158</v>
      </c>
      <c r="J1598" t="s">
        <v>6422</v>
      </c>
      <c r="K1598">
        <v>23900</v>
      </c>
      <c r="L1598">
        <v>15610</v>
      </c>
      <c r="M1598">
        <v>-34.69</v>
      </c>
      <c r="N1598">
        <v>-6.47</v>
      </c>
      <c r="O1598">
        <v>-2.99</v>
      </c>
      <c r="P1598">
        <v>-3.72</v>
      </c>
      <c r="Q1598">
        <v>-11.44</v>
      </c>
      <c r="R1598">
        <v>-20.65</v>
      </c>
      <c r="S1598">
        <v>16.16</v>
      </c>
      <c r="T1598">
        <v>2.02</v>
      </c>
      <c r="U1598">
        <v>2.35</v>
      </c>
      <c r="V1598">
        <v>2.63</v>
      </c>
      <c r="W1598">
        <v>3.84</v>
      </c>
      <c r="X1598">
        <v>2.78</v>
      </c>
      <c r="Y1598">
        <v>4.8499999999999996</v>
      </c>
      <c r="Z1598">
        <v>3.2</v>
      </c>
      <c r="AA1598">
        <v>1.27</v>
      </c>
      <c r="AB1598">
        <v>1.41</v>
      </c>
      <c r="AC1598">
        <v>2.98</v>
      </c>
      <c r="AD1598">
        <v>7.43</v>
      </c>
      <c r="AE1598">
        <v>3.33</v>
      </c>
      <c r="AF1598">
        <v>3.27</v>
      </c>
      <c r="AG1598" t="str">
        <f>HYPERLINK("https://finance.naver.com/item/fchart.naver?code=095610", "테스 차트보기")</f>
        <v>테스 차트보기</v>
      </c>
    </row>
    <row r="1599" spans="1:33" x14ac:dyDescent="0.3">
      <c r="A1599" t="s">
        <v>6423</v>
      </c>
      <c r="B1599" t="s">
        <v>55</v>
      </c>
      <c r="C1599" t="s">
        <v>6424</v>
      </c>
      <c r="D1599">
        <v>662809.1</v>
      </c>
      <c r="E1599" t="s">
        <v>6425</v>
      </c>
      <c r="F1599">
        <v>0</v>
      </c>
      <c r="G1599">
        <v>1.129999995231628</v>
      </c>
      <c r="H1599">
        <v>0</v>
      </c>
      <c r="I1599">
        <v>0</v>
      </c>
      <c r="J1599" t="s">
        <v>6426</v>
      </c>
      <c r="K1599">
        <v>928</v>
      </c>
      <c r="L1599">
        <v>506</v>
      </c>
      <c r="M1599">
        <v>-45.47</v>
      </c>
      <c r="N1599">
        <v>-1.17</v>
      </c>
      <c r="O1599">
        <v>-14</v>
      </c>
      <c r="P1599">
        <v>38.950000000000003</v>
      </c>
      <c r="Q1599">
        <v>-3.93</v>
      </c>
      <c r="R1599">
        <v>3.5</v>
      </c>
      <c r="S1599">
        <v>-36.35</v>
      </c>
      <c r="T1599">
        <v>6.61</v>
      </c>
      <c r="U1599">
        <v>4.7699999999999996</v>
      </c>
      <c r="V1599">
        <v>5.73</v>
      </c>
      <c r="W1599">
        <v>6.44</v>
      </c>
      <c r="X1599">
        <v>1.73</v>
      </c>
      <c r="Y1599">
        <v>5.14</v>
      </c>
      <c r="Z1599">
        <v>0.18</v>
      </c>
      <c r="AA1599">
        <v>2.94</v>
      </c>
      <c r="AB1599">
        <v>6.8</v>
      </c>
      <c r="AC1599">
        <v>0.61</v>
      </c>
      <c r="AD1599">
        <v>2.02</v>
      </c>
      <c r="AE1599">
        <v>7.07</v>
      </c>
      <c r="AF1599">
        <v>3.27</v>
      </c>
      <c r="AG1599" t="str">
        <f>HYPERLINK("https://finance.naver.com/item/fchart.naver?code=043220", "티에스넥스젠 차트보기")</f>
        <v>티에스넥스젠 차트보기</v>
      </c>
    </row>
    <row r="1600" spans="1:33" x14ac:dyDescent="0.3">
      <c r="A1600" t="s">
        <v>6427</v>
      </c>
      <c r="B1600" t="s">
        <v>34</v>
      </c>
      <c r="C1600" t="s">
        <v>6428</v>
      </c>
      <c r="D1600">
        <v>667910.05000000005</v>
      </c>
      <c r="E1600" t="s">
        <v>6429</v>
      </c>
      <c r="F1600">
        <v>0</v>
      </c>
      <c r="G1600">
        <v>0.36000001430511469</v>
      </c>
      <c r="H1600">
        <v>0</v>
      </c>
      <c r="I1600">
        <v>0</v>
      </c>
      <c r="J1600" t="s">
        <v>6430</v>
      </c>
      <c r="K1600">
        <v>615</v>
      </c>
      <c r="L1600">
        <v>580</v>
      </c>
      <c r="M1600">
        <v>-5.69</v>
      </c>
      <c r="N1600">
        <v>-7.64</v>
      </c>
      <c r="O1600">
        <v>6.79</v>
      </c>
      <c r="P1600">
        <v>1.37</v>
      </c>
      <c r="Q1600">
        <v>-3.61</v>
      </c>
      <c r="R1600">
        <v>5.37</v>
      </c>
      <c r="S1600">
        <v>-4.76</v>
      </c>
      <c r="T1600">
        <v>1.54</v>
      </c>
      <c r="U1600">
        <v>2.38</v>
      </c>
      <c r="V1600">
        <v>1.7</v>
      </c>
      <c r="W1600">
        <v>3.17</v>
      </c>
      <c r="X1600">
        <v>1.53</v>
      </c>
      <c r="Y1600">
        <v>0.75</v>
      </c>
      <c r="Z1600">
        <v>4.96</v>
      </c>
      <c r="AA1600">
        <v>2.85</v>
      </c>
      <c r="AB1600">
        <v>0.81</v>
      </c>
      <c r="AC1600">
        <v>1.1399999999999999</v>
      </c>
      <c r="AD1600">
        <v>3.51</v>
      </c>
      <c r="AE1600">
        <v>6.35</v>
      </c>
      <c r="AF1600">
        <v>3.27</v>
      </c>
      <c r="AG1600" t="str">
        <f>HYPERLINK("https://finance.naver.com/item/fchart.naver?code=214330", "금호에이치티 차트보기")</f>
        <v>금호에이치티 차트보기</v>
      </c>
    </row>
    <row r="1601" spans="1:33" x14ac:dyDescent="0.3">
      <c r="A1601" t="s">
        <v>6431</v>
      </c>
      <c r="B1601" t="s">
        <v>34</v>
      </c>
      <c r="C1601" t="s">
        <v>6432</v>
      </c>
      <c r="D1601">
        <v>42538.9</v>
      </c>
      <c r="E1601" t="s">
        <v>6433</v>
      </c>
      <c r="F1601">
        <v>0</v>
      </c>
      <c r="G1601">
        <v>0.31999999284744263</v>
      </c>
      <c r="H1601">
        <v>0</v>
      </c>
      <c r="I1601">
        <v>2.4200000762939449</v>
      </c>
      <c r="J1601" t="s">
        <v>6434</v>
      </c>
      <c r="K1601">
        <v>2940</v>
      </c>
      <c r="L1601">
        <v>2070</v>
      </c>
      <c r="M1601">
        <v>-29.59</v>
      </c>
      <c r="N1601">
        <v>-1.9</v>
      </c>
      <c r="O1601">
        <v>-10.32</v>
      </c>
      <c r="P1601">
        <v>-0.21</v>
      </c>
      <c r="Q1601">
        <v>-7.87</v>
      </c>
      <c r="R1601">
        <v>-11.17</v>
      </c>
      <c r="S1601">
        <v>-0.7</v>
      </c>
      <c r="T1601">
        <v>1.78</v>
      </c>
      <c r="U1601">
        <v>1.7</v>
      </c>
      <c r="V1601">
        <v>2.2400000000000002</v>
      </c>
      <c r="W1601">
        <v>3.61</v>
      </c>
      <c r="X1601">
        <v>1.1299999999999999</v>
      </c>
      <c r="Y1601">
        <v>2.04</v>
      </c>
      <c r="Z1601">
        <v>1.07</v>
      </c>
      <c r="AA1601">
        <v>6.07</v>
      </c>
      <c r="AB1601">
        <v>0.09</v>
      </c>
      <c r="AC1601">
        <v>2.1800000000000002</v>
      </c>
      <c r="AD1601">
        <v>9.8800000000000008</v>
      </c>
      <c r="AE1601">
        <v>0.34</v>
      </c>
      <c r="AF1601">
        <v>3.2716666666666669</v>
      </c>
      <c r="AG1601" t="str">
        <f>HYPERLINK("https://finance.naver.com/item/fchart.naver?code=036580", "팜스코 차트보기")</f>
        <v>팜스코 차트보기</v>
      </c>
    </row>
    <row r="1602" spans="1:33" x14ac:dyDescent="0.3">
      <c r="A1602" t="s">
        <v>6435</v>
      </c>
      <c r="B1602" t="s">
        <v>34</v>
      </c>
      <c r="C1602" t="s">
        <v>6436</v>
      </c>
      <c r="D1602">
        <v>1001593.81</v>
      </c>
      <c r="E1602" t="s">
        <v>6437</v>
      </c>
      <c r="F1602">
        <v>13.92</v>
      </c>
      <c r="G1602">
        <v>0.70999997854232788</v>
      </c>
      <c r="H1602">
        <v>106</v>
      </c>
      <c r="I1602">
        <v>0</v>
      </c>
      <c r="J1602" t="s">
        <v>6438</v>
      </c>
      <c r="K1602">
        <v>1413</v>
      </c>
      <c r="L1602">
        <v>1475</v>
      </c>
      <c r="M1602">
        <v>4.3899999999999997</v>
      </c>
      <c r="N1602">
        <v>-5.57</v>
      </c>
      <c r="O1602">
        <v>7.07</v>
      </c>
      <c r="P1602">
        <v>12.93</v>
      </c>
      <c r="Q1602">
        <v>4.8899999999999997</v>
      </c>
      <c r="R1602">
        <v>-11.95</v>
      </c>
      <c r="S1602">
        <v>-1.17</v>
      </c>
      <c r="T1602">
        <v>1.93</v>
      </c>
      <c r="U1602">
        <v>2.37</v>
      </c>
      <c r="V1602">
        <v>3.94</v>
      </c>
      <c r="W1602">
        <v>3.72</v>
      </c>
      <c r="X1602">
        <v>1.35</v>
      </c>
      <c r="Y1602">
        <v>3.69</v>
      </c>
      <c r="Z1602">
        <v>2.89</v>
      </c>
      <c r="AA1602">
        <v>2.98</v>
      </c>
      <c r="AB1602">
        <v>3.28</v>
      </c>
      <c r="AC1602">
        <v>1.31</v>
      </c>
      <c r="AD1602">
        <v>8.85</v>
      </c>
      <c r="AE1602">
        <v>0.32</v>
      </c>
      <c r="AF1602">
        <v>3.2716666666666669</v>
      </c>
      <c r="AG1602" t="str">
        <f>HYPERLINK("https://finance.naver.com/item/fchart.naver?code=012030", "DB 차트보기")</f>
        <v>DB 차트보기</v>
      </c>
    </row>
    <row r="1603" spans="1:33" x14ac:dyDescent="0.3">
      <c r="A1603" t="s">
        <v>6439</v>
      </c>
      <c r="B1603" t="s">
        <v>55</v>
      </c>
      <c r="C1603" t="s">
        <v>6440</v>
      </c>
      <c r="D1603">
        <v>153946.95000000001</v>
      </c>
      <c r="E1603" t="s">
        <v>6441</v>
      </c>
      <c r="F1603">
        <v>46.41</v>
      </c>
      <c r="G1603">
        <v>2.410000085830688</v>
      </c>
      <c r="H1603">
        <v>85</v>
      </c>
      <c r="I1603">
        <v>0</v>
      </c>
      <c r="J1603" t="s">
        <v>6442</v>
      </c>
      <c r="K1603">
        <v>4100</v>
      </c>
      <c r="L1603">
        <v>3945</v>
      </c>
      <c r="M1603">
        <v>-3.78</v>
      </c>
      <c r="N1603">
        <v>-3.66</v>
      </c>
      <c r="O1603">
        <v>3.11</v>
      </c>
      <c r="P1603">
        <v>-4.5599999999999996</v>
      </c>
      <c r="Q1603">
        <v>2.44</v>
      </c>
      <c r="R1603">
        <v>9.56</v>
      </c>
      <c r="S1603">
        <v>-5.88</v>
      </c>
      <c r="T1603">
        <v>2.37</v>
      </c>
      <c r="U1603">
        <v>2.5499999999999998</v>
      </c>
      <c r="V1603">
        <v>2.39</v>
      </c>
      <c r="W1603">
        <v>10.41</v>
      </c>
      <c r="X1603">
        <v>1.31</v>
      </c>
      <c r="Y1603">
        <v>0.79</v>
      </c>
      <c r="Z1603">
        <v>1.54</v>
      </c>
      <c r="AA1603">
        <v>1.22</v>
      </c>
      <c r="AB1603">
        <v>1.91</v>
      </c>
      <c r="AC1603">
        <v>0.23</v>
      </c>
      <c r="AD1603">
        <v>7.3</v>
      </c>
      <c r="AE1603">
        <v>7.44</v>
      </c>
      <c r="AF1603">
        <v>3.273333333333333</v>
      </c>
      <c r="AG1603" t="str">
        <f>HYPERLINK("https://finance.naver.com/item/fchart.naver?code=142280", "녹십자엠에스 차트보기")</f>
        <v>녹십자엠에스 차트보기</v>
      </c>
    </row>
    <row r="1604" spans="1:33" x14ac:dyDescent="0.3">
      <c r="A1604" t="s">
        <v>6443</v>
      </c>
      <c r="B1604" t="s">
        <v>55</v>
      </c>
      <c r="C1604" t="s">
        <v>6444</v>
      </c>
      <c r="D1604">
        <v>602566.62</v>
      </c>
      <c r="E1604" t="s">
        <v>6445</v>
      </c>
      <c r="F1604">
        <v>12.97</v>
      </c>
      <c r="G1604">
        <v>1.169999957084656</v>
      </c>
      <c r="H1604">
        <v>636</v>
      </c>
      <c r="I1604">
        <v>0</v>
      </c>
      <c r="J1604" t="s">
        <v>6446</v>
      </c>
      <c r="K1604">
        <v>7530</v>
      </c>
      <c r="L1604">
        <v>8250</v>
      </c>
      <c r="M1604">
        <v>9.56</v>
      </c>
      <c r="N1604">
        <v>7.56</v>
      </c>
      <c r="O1604">
        <v>1.81</v>
      </c>
      <c r="P1604">
        <v>-7.75</v>
      </c>
      <c r="Q1604">
        <v>14.15</v>
      </c>
      <c r="R1604">
        <v>-2.79</v>
      </c>
      <c r="S1604">
        <v>-8.57</v>
      </c>
      <c r="T1604">
        <v>2.93</v>
      </c>
      <c r="U1604">
        <v>4.95</v>
      </c>
      <c r="V1604">
        <v>1.74</v>
      </c>
      <c r="W1604">
        <v>3.44</v>
      </c>
      <c r="X1604">
        <v>1.57</v>
      </c>
      <c r="Y1604">
        <v>1.35</v>
      </c>
      <c r="Z1604">
        <v>2.58</v>
      </c>
      <c r="AA1604">
        <v>0.37</v>
      </c>
      <c r="AB1604">
        <v>4.45</v>
      </c>
      <c r="AC1604">
        <v>4.1100000000000003</v>
      </c>
      <c r="AD1604">
        <v>1.78</v>
      </c>
      <c r="AE1604">
        <v>6.35</v>
      </c>
      <c r="AF1604">
        <v>3.273333333333333</v>
      </c>
      <c r="AG1604" t="str">
        <f>HYPERLINK("https://finance.naver.com/item/fchart.naver?code=115440", "우리넷 차트보기")</f>
        <v>우리넷 차트보기</v>
      </c>
    </row>
    <row r="1605" spans="1:33" x14ac:dyDescent="0.3">
      <c r="A1605" t="s">
        <v>6447</v>
      </c>
      <c r="B1605" t="s">
        <v>55</v>
      </c>
      <c r="C1605" t="s">
        <v>6448</v>
      </c>
      <c r="D1605">
        <v>1824619.76</v>
      </c>
      <c r="E1605" t="s">
        <v>6449</v>
      </c>
      <c r="F1605">
        <v>2.13</v>
      </c>
      <c r="G1605">
        <v>0.60000002384185791</v>
      </c>
      <c r="H1605">
        <v>983</v>
      </c>
      <c r="I1605">
        <v>0.95999997854232788</v>
      </c>
      <c r="J1605" t="s">
        <v>6450</v>
      </c>
      <c r="K1605">
        <v>3865</v>
      </c>
      <c r="L1605">
        <v>2090</v>
      </c>
      <c r="M1605">
        <v>-45.92</v>
      </c>
      <c r="N1605">
        <v>-6.28</v>
      </c>
      <c r="O1605">
        <v>-11.11</v>
      </c>
      <c r="P1605">
        <v>5.91</v>
      </c>
      <c r="Q1605">
        <v>-27.83</v>
      </c>
      <c r="R1605">
        <v>-6.22</v>
      </c>
      <c r="S1605">
        <v>17.829999999999998</v>
      </c>
      <c r="T1605">
        <v>3.18</v>
      </c>
      <c r="U1605">
        <v>3.14</v>
      </c>
      <c r="V1605">
        <v>3.8</v>
      </c>
      <c r="W1605">
        <v>4.43</v>
      </c>
      <c r="X1605">
        <v>7.38</v>
      </c>
      <c r="Y1605">
        <v>3.27</v>
      </c>
      <c r="Z1605">
        <v>1.97</v>
      </c>
      <c r="AA1605">
        <v>3.54</v>
      </c>
      <c r="AB1605">
        <v>1.56</v>
      </c>
      <c r="AC1605">
        <v>6.28</v>
      </c>
      <c r="AD1605">
        <v>0.84</v>
      </c>
      <c r="AE1605">
        <v>5.45</v>
      </c>
      <c r="AF1605">
        <v>3.273333333333333</v>
      </c>
      <c r="AG1605" t="str">
        <f>HYPERLINK("https://finance.naver.com/item/fchart.naver?code=078150", "HB테크놀러지 차트보기")</f>
        <v>HB테크놀러지 차트보기</v>
      </c>
    </row>
    <row r="1606" spans="1:33" x14ac:dyDescent="0.3">
      <c r="A1606" t="s">
        <v>6451</v>
      </c>
      <c r="B1606" t="s">
        <v>34</v>
      </c>
      <c r="C1606" t="s">
        <v>6452</v>
      </c>
      <c r="D1606">
        <v>756895.52</v>
      </c>
      <c r="E1606" t="s">
        <v>6453</v>
      </c>
      <c r="F1606">
        <v>0</v>
      </c>
      <c r="G1606">
        <v>2.1099998950958252</v>
      </c>
      <c r="H1606">
        <v>0</v>
      </c>
      <c r="I1606">
        <v>0</v>
      </c>
      <c r="J1606" t="s">
        <v>6454</v>
      </c>
      <c r="K1606">
        <v>175</v>
      </c>
      <c r="L1606">
        <v>150</v>
      </c>
      <c r="M1606">
        <v>-14.29</v>
      </c>
      <c r="N1606">
        <v>-3.85</v>
      </c>
      <c r="O1606">
        <v>-3.68</v>
      </c>
      <c r="P1606">
        <v>-2.37</v>
      </c>
      <c r="Q1606">
        <v>-5.08</v>
      </c>
      <c r="R1606">
        <v>-2.21</v>
      </c>
      <c r="S1606">
        <v>0.55000000000000004</v>
      </c>
      <c r="T1606">
        <v>0.84</v>
      </c>
      <c r="U1606">
        <v>0.8</v>
      </c>
      <c r="V1606">
        <v>0.63</v>
      </c>
      <c r="W1606">
        <v>1.44</v>
      </c>
      <c r="X1606">
        <v>0.77</v>
      </c>
      <c r="Y1606">
        <v>1.8</v>
      </c>
      <c r="Z1606">
        <v>4.58</v>
      </c>
      <c r="AA1606">
        <v>4.5999999999999996</v>
      </c>
      <c r="AB1606">
        <v>3.76</v>
      </c>
      <c r="AC1606">
        <v>3.53</v>
      </c>
      <c r="AD1606">
        <v>2.87</v>
      </c>
      <c r="AE1606">
        <v>0.31</v>
      </c>
      <c r="AF1606">
        <v>3.2749999999999999</v>
      </c>
      <c r="AG1606" t="str">
        <f>HYPERLINK("https://finance.naver.com/item/fchart.naver?code=004410", "서울식품 차트보기")</f>
        <v>서울식품 차트보기</v>
      </c>
    </row>
    <row r="1607" spans="1:33" x14ac:dyDescent="0.3">
      <c r="A1607" t="s">
        <v>6455</v>
      </c>
      <c r="B1607" t="s">
        <v>55</v>
      </c>
      <c r="C1607" t="s">
        <v>6456</v>
      </c>
      <c r="D1607">
        <v>2012131.57</v>
      </c>
      <c r="E1607" t="s">
        <v>6457</v>
      </c>
      <c r="F1607">
        <v>0</v>
      </c>
      <c r="G1607">
        <v>12.579999923706049</v>
      </c>
      <c r="H1607">
        <v>0</v>
      </c>
      <c r="I1607">
        <v>0</v>
      </c>
      <c r="J1607" t="s">
        <v>6458</v>
      </c>
      <c r="K1607">
        <v>4445</v>
      </c>
      <c r="L1607">
        <v>10200</v>
      </c>
      <c r="M1607">
        <v>129.47</v>
      </c>
      <c r="N1607">
        <v>-12.22</v>
      </c>
      <c r="O1607">
        <v>15.05</v>
      </c>
      <c r="P1607">
        <v>-13.45</v>
      </c>
      <c r="Q1607">
        <v>-13.56</v>
      </c>
      <c r="R1607">
        <v>16.27</v>
      </c>
      <c r="S1607">
        <v>17.43</v>
      </c>
      <c r="T1607">
        <v>2.71</v>
      </c>
      <c r="U1607">
        <v>7.15</v>
      </c>
      <c r="V1607">
        <v>2.87</v>
      </c>
      <c r="W1607">
        <v>4.0199999999999996</v>
      </c>
      <c r="X1607">
        <v>6.06</v>
      </c>
      <c r="Y1607">
        <v>7.54</v>
      </c>
      <c r="Z1607">
        <v>4.51</v>
      </c>
      <c r="AA1607">
        <v>2.1</v>
      </c>
      <c r="AB1607">
        <v>4.6900000000000004</v>
      </c>
      <c r="AC1607">
        <v>3.37</v>
      </c>
      <c r="AD1607">
        <v>2.68</v>
      </c>
      <c r="AE1607">
        <v>2.31</v>
      </c>
      <c r="AF1607">
        <v>3.2766666666666668</v>
      </c>
      <c r="AG1607" t="str">
        <f>HYPERLINK("https://finance.naver.com/item/fchart.naver?code=051980", "중앙첨단소재 차트보기")</f>
        <v>중앙첨단소재 차트보기</v>
      </c>
    </row>
    <row r="1608" spans="1:33" x14ac:dyDescent="0.3">
      <c r="A1608" t="s">
        <v>6459</v>
      </c>
      <c r="B1608" t="s">
        <v>55</v>
      </c>
      <c r="C1608" t="s">
        <v>6460</v>
      </c>
      <c r="D1608">
        <v>77443.759999999995</v>
      </c>
      <c r="E1608" t="s">
        <v>6461</v>
      </c>
      <c r="F1608">
        <v>17.41</v>
      </c>
      <c r="G1608">
        <v>0.54000002145767212</v>
      </c>
      <c r="H1608">
        <v>1098</v>
      </c>
      <c r="I1608">
        <v>0.77999997138977051</v>
      </c>
      <c r="J1608" t="s">
        <v>6462</v>
      </c>
      <c r="K1608">
        <v>35900</v>
      </c>
      <c r="L1608">
        <v>19120</v>
      </c>
      <c r="M1608">
        <v>-46.74</v>
      </c>
      <c r="N1608">
        <v>-7.86</v>
      </c>
      <c r="O1608">
        <v>-16.829999999999998</v>
      </c>
      <c r="P1608">
        <v>-7.49</v>
      </c>
      <c r="Q1608">
        <v>-9.32</v>
      </c>
      <c r="R1608">
        <v>-4.51</v>
      </c>
      <c r="S1608">
        <v>-3.3</v>
      </c>
      <c r="T1608">
        <v>2.68</v>
      </c>
      <c r="U1608">
        <v>2.21</v>
      </c>
      <c r="V1608">
        <v>2.4900000000000002</v>
      </c>
      <c r="W1608">
        <v>3.57</v>
      </c>
      <c r="X1608">
        <v>2.21</v>
      </c>
      <c r="Y1608">
        <v>2.27</v>
      </c>
      <c r="Z1608">
        <v>2.93</v>
      </c>
      <c r="AA1608">
        <v>7.62</v>
      </c>
      <c r="AB1608">
        <v>3.01</v>
      </c>
      <c r="AC1608">
        <v>2.61</v>
      </c>
      <c r="AD1608">
        <v>2.04</v>
      </c>
      <c r="AE1608">
        <v>1.45</v>
      </c>
      <c r="AF1608">
        <v>3.2766666666666668</v>
      </c>
      <c r="AG1608" t="str">
        <f>HYPERLINK("https://finance.naver.com/item/fchart.naver?code=104830", "원익머트리얼즈 차트보기")</f>
        <v>원익머트리얼즈 차트보기</v>
      </c>
    </row>
    <row r="1609" spans="1:33" x14ac:dyDescent="0.3">
      <c r="A1609" t="s">
        <v>6463</v>
      </c>
      <c r="B1609" t="s">
        <v>55</v>
      </c>
      <c r="C1609" t="s">
        <v>6464</v>
      </c>
      <c r="D1609">
        <v>313003.43</v>
      </c>
      <c r="E1609" t="s">
        <v>6465</v>
      </c>
      <c r="F1609">
        <v>12.19</v>
      </c>
      <c r="G1609">
        <v>1.2100000381469731</v>
      </c>
      <c r="H1609">
        <v>145</v>
      </c>
      <c r="I1609">
        <v>1.580000042915344</v>
      </c>
      <c r="J1609" t="s">
        <v>6466</v>
      </c>
      <c r="K1609">
        <v>2660</v>
      </c>
      <c r="L1609">
        <v>1767</v>
      </c>
      <c r="M1609">
        <v>-33.57</v>
      </c>
      <c r="N1609">
        <v>3.64</v>
      </c>
      <c r="O1609">
        <v>-2.75</v>
      </c>
      <c r="P1609">
        <v>-3.68</v>
      </c>
      <c r="Q1609">
        <v>-9.83</v>
      </c>
      <c r="R1609">
        <v>-10.31</v>
      </c>
      <c r="S1609">
        <v>-6.42</v>
      </c>
      <c r="T1609">
        <v>1.95</v>
      </c>
      <c r="U1609">
        <v>1.86</v>
      </c>
      <c r="V1609">
        <v>2.37</v>
      </c>
      <c r="W1609">
        <v>3.45</v>
      </c>
      <c r="X1609">
        <v>1.63</v>
      </c>
      <c r="Y1609">
        <v>1.1499999999999999</v>
      </c>
      <c r="Z1609">
        <v>1.87</v>
      </c>
      <c r="AA1609">
        <v>1.48</v>
      </c>
      <c r="AB1609">
        <v>1.55</v>
      </c>
      <c r="AC1609">
        <v>2.85</v>
      </c>
      <c r="AD1609">
        <v>6.33</v>
      </c>
      <c r="AE1609">
        <v>5.58</v>
      </c>
      <c r="AF1609">
        <v>3.2766666666666668</v>
      </c>
      <c r="AG1609" t="str">
        <f>HYPERLINK("https://finance.naver.com/item/fchart.naver?code=205100", "엑셈 차트보기")</f>
        <v>엑셈 차트보기</v>
      </c>
    </row>
    <row r="1610" spans="1:33" x14ac:dyDescent="0.3">
      <c r="A1610" t="s">
        <v>6467</v>
      </c>
      <c r="B1610" t="s">
        <v>55</v>
      </c>
      <c r="C1610" t="s">
        <v>6468</v>
      </c>
      <c r="D1610">
        <v>64509.62</v>
      </c>
      <c r="E1610" t="s">
        <v>6469</v>
      </c>
      <c r="F1610">
        <v>0</v>
      </c>
      <c r="G1610">
        <v>2.589999914169312</v>
      </c>
      <c r="H1610">
        <v>0</v>
      </c>
      <c r="I1610">
        <v>0</v>
      </c>
      <c r="J1610" t="s">
        <v>6470</v>
      </c>
      <c r="K1610">
        <v>29000</v>
      </c>
      <c r="L1610">
        <v>11690</v>
      </c>
      <c r="M1610">
        <v>-59.69</v>
      </c>
      <c r="N1610">
        <v>-7.52</v>
      </c>
      <c r="O1610">
        <v>-7.7</v>
      </c>
      <c r="P1610">
        <v>-6.93</v>
      </c>
      <c r="Q1610">
        <v>-20.54</v>
      </c>
      <c r="R1610">
        <v>-24.16</v>
      </c>
      <c r="S1610">
        <v>13.27</v>
      </c>
      <c r="T1610">
        <v>3.06</v>
      </c>
      <c r="U1610">
        <v>3.51</v>
      </c>
      <c r="V1610">
        <v>2.92</v>
      </c>
      <c r="W1610">
        <v>5.55</v>
      </c>
      <c r="X1610">
        <v>3.4</v>
      </c>
      <c r="Y1610">
        <v>7.25</v>
      </c>
      <c r="Z1610">
        <v>2.46</v>
      </c>
      <c r="AA1610">
        <v>2.19</v>
      </c>
      <c r="AB1610">
        <v>2.37</v>
      </c>
      <c r="AC1610">
        <v>3.7</v>
      </c>
      <c r="AD1610">
        <v>7.11</v>
      </c>
      <c r="AE1610">
        <v>1.83</v>
      </c>
      <c r="AF1610">
        <v>3.2766666666666668</v>
      </c>
      <c r="AG1610" t="str">
        <f>HYPERLINK("https://finance.naver.com/item/fchart.naver?code=064290", "인텍플러스 차트보기")</f>
        <v>인텍플러스 차트보기</v>
      </c>
    </row>
    <row r="1611" spans="1:33" x14ac:dyDescent="0.3">
      <c r="A1611" t="s">
        <v>6471</v>
      </c>
      <c r="B1611" t="s">
        <v>34</v>
      </c>
      <c r="C1611" t="s">
        <v>6472</v>
      </c>
      <c r="D1611">
        <v>1378788.86</v>
      </c>
      <c r="E1611" t="s">
        <v>6473</v>
      </c>
      <c r="F1611">
        <v>23.37</v>
      </c>
      <c r="G1611">
        <v>2.2400000095367432</v>
      </c>
      <c r="H1611">
        <v>129</v>
      </c>
      <c r="I1611">
        <v>0</v>
      </c>
      <c r="J1611" t="s">
        <v>6474</v>
      </c>
      <c r="K1611">
        <v>4910</v>
      </c>
      <c r="L1611">
        <v>3015</v>
      </c>
      <c r="M1611">
        <v>-38.590000000000003</v>
      </c>
      <c r="N1611">
        <v>11.87</v>
      </c>
      <c r="O1611">
        <v>-7.43</v>
      </c>
      <c r="P1611">
        <v>0.84</v>
      </c>
      <c r="Q1611">
        <v>-11.76</v>
      </c>
      <c r="R1611">
        <v>-21.96</v>
      </c>
      <c r="S1611">
        <v>22.78</v>
      </c>
      <c r="T1611">
        <v>2.88</v>
      </c>
      <c r="U1611">
        <v>2.41</v>
      </c>
      <c r="V1611">
        <v>2.67</v>
      </c>
      <c r="W1611">
        <v>5.38</v>
      </c>
      <c r="X1611">
        <v>3.6</v>
      </c>
      <c r="Y1611">
        <v>5.89</v>
      </c>
      <c r="Z1611">
        <v>4.12</v>
      </c>
      <c r="AA1611">
        <v>3.08</v>
      </c>
      <c r="AB1611">
        <v>0.31</v>
      </c>
      <c r="AC1611">
        <v>2.19</v>
      </c>
      <c r="AD1611">
        <v>6.1</v>
      </c>
      <c r="AE1611">
        <v>3.87</v>
      </c>
      <c r="AF1611">
        <v>3.2783333333333329</v>
      </c>
      <c r="AG1611" t="str">
        <f>HYPERLINK("https://finance.naver.com/item/fchart.naver?code=006340", "대원전선 차트보기")</f>
        <v>대원전선 차트보기</v>
      </c>
    </row>
    <row r="1612" spans="1:33" x14ac:dyDescent="0.3">
      <c r="A1612" t="s">
        <v>6475</v>
      </c>
      <c r="B1612" t="s">
        <v>55</v>
      </c>
      <c r="C1612" t="s">
        <v>6476</v>
      </c>
      <c r="D1612">
        <v>349560.48</v>
      </c>
      <c r="E1612" t="s">
        <v>6477</v>
      </c>
      <c r="F1612">
        <v>37.299999999999997</v>
      </c>
      <c r="G1612">
        <v>2.380000114440918</v>
      </c>
      <c r="H1612">
        <v>355</v>
      </c>
      <c r="I1612">
        <v>0</v>
      </c>
      <c r="J1612" t="s">
        <v>6478</v>
      </c>
      <c r="K1612">
        <v>18500</v>
      </c>
      <c r="L1612">
        <v>13240</v>
      </c>
      <c r="M1612">
        <v>-28.43</v>
      </c>
      <c r="N1612">
        <v>-12.14</v>
      </c>
      <c r="O1612">
        <v>-1.0900000000000001</v>
      </c>
      <c r="P1612">
        <v>20.49</v>
      </c>
      <c r="Q1612">
        <v>-0.53</v>
      </c>
      <c r="R1612">
        <v>-15.7</v>
      </c>
      <c r="S1612">
        <v>-8.43</v>
      </c>
      <c r="T1612">
        <v>2.58</v>
      </c>
      <c r="U1612">
        <v>3.72</v>
      </c>
      <c r="V1612">
        <v>8.8000000000000007</v>
      </c>
      <c r="W1612">
        <v>9.9</v>
      </c>
      <c r="X1612">
        <v>2.42</v>
      </c>
      <c r="Y1612">
        <v>1.45</v>
      </c>
      <c r="Z1612">
        <v>4.71</v>
      </c>
      <c r="AA1612">
        <v>0.28999999999999998</v>
      </c>
      <c r="AB1612">
        <v>2.33</v>
      </c>
      <c r="AC1612">
        <v>0.05</v>
      </c>
      <c r="AD1612">
        <v>6.49</v>
      </c>
      <c r="AE1612">
        <v>5.81</v>
      </c>
      <c r="AF1612">
        <v>3.28</v>
      </c>
      <c r="AG1612" t="str">
        <f>HYPERLINK("https://finance.naver.com/item/fchart.naver?code=254490", "미래반도체 차트보기")</f>
        <v>미래반도체 차트보기</v>
      </c>
    </row>
    <row r="1613" spans="1:33" x14ac:dyDescent="0.3">
      <c r="A1613" t="s">
        <v>6479</v>
      </c>
      <c r="B1613" t="s">
        <v>55</v>
      </c>
      <c r="C1613" t="s">
        <v>6480</v>
      </c>
      <c r="D1613">
        <v>490451.95</v>
      </c>
      <c r="E1613" t="s">
        <v>6481</v>
      </c>
      <c r="F1613">
        <v>70.17</v>
      </c>
      <c r="G1613">
        <v>2.5399999618530269</v>
      </c>
      <c r="H1613">
        <v>6</v>
      </c>
      <c r="I1613">
        <v>0</v>
      </c>
      <c r="J1613" t="s">
        <v>6482</v>
      </c>
      <c r="K1613">
        <v>538</v>
      </c>
      <c r="L1613">
        <v>421</v>
      </c>
      <c r="M1613">
        <v>-21.75</v>
      </c>
      <c r="N1613">
        <v>-8.68</v>
      </c>
      <c r="O1613">
        <v>-12.17</v>
      </c>
      <c r="P1613">
        <v>-4.8099999999999996</v>
      </c>
      <c r="Q1613">
        <v>4.42</v>
      </c>
      <c r="R1613">
        <v>43.89</v>
      </c>
      <c r="S1613">
        <v>-15.53</v>
      </c>
      <c r="T1613">
        <v>4.07</v>
      </c>
      <c r="U1613">
        <v>5.04</v>
      </c>
      <c r="V1613">
        <v>4.12</v>
      </c>
      <c r="W1613">
        <v>5.22</v>
      </c>
      <c r="X1613">
        <v>5.68</v>
      </c>
      <c r="Y1613">
        <v>2.88</v>
      </c>
      <c r="Z1613">
        <v>2.13</v>
      </c>
      <c r="AA1613">
        <v>2.41</v>
      </c>
      <c r="AB1613">
        <v>1.17</v>
      </c>
      <c r="AC1613">
        <v>0.85</v>
      </c>
      <c r="AD1613">
        <v>7.73</v>
      </c>
      <c r="AE1613">
        <v>5.39</v>
      </c>
      <c r="AF1613">
        <v>3.28</v>
      </c>
      <c r="AG1613" t="str">
        <f>HYPERLINK("https://finance.naver.com/item/fchart.naver?code=115530", "씨엔플러스 차트보기")</f>
        <v>씨엔플러스 차트보기</v>
      </c>
    </row>
    <row r="1614" spans="1:33" x14ac:dyDescent="0.3">
      <c r="A1614" t="s">
        <v>6483</v>
      </c>
      <c r="B1614" t="s">
        <v>55</v>
      </c>
      <c r="C1614" t="s">
        <v>6484</v>
      </c>
      <c r="D1614">
        <v>41767</v>
      </c>
      <c r="E1614" t="s">
        <v>6485</v>
      </c>
      <c r="F1614">
        <v>0</v>
      </c>
      <c r="G1614">
        <v>0</v>
      </c>
      <c r="H1614">
        <v>0</v>
      </c>
      <c r="I1614">
        <v>0</v>
      </c>
      <c r="J1614" t="s">
        <v>6486</v>
      </c>
      <c r="K1614">
        <v>1966</v>
      </c>
      <c r="L1614">
        <v>1960</v>
      </c>
      <c r="M1614">
        <v>-0.31</v>
      </c>
      <c r="N1614">
        <v>0.26</v>
      </c>
      <c r="O1614">
        <v>0.2</v>
      </c>
      <c r="P1614">
        <v>-0.05</v>
      </c>
      <c r="Q1614">
        <v>-1.01</v>
      </c>
      <c r="R1614">
        <v>0.61</v>
      </c>
      <c r="S1614">
        <v>-1.01</v>
      </c>
      <c r="T1614">
        <v>0.1</v>
      </c>
      <c r="U1614">
        <v>0.17</v>
      </c>
      <c r="V1614">
        <v>0.18</v>
      </c>
      <c r="W1614">
        <v>0.16</v>
      </c>
      <c r="X1614">
        <v>0.28999999999999998</v>
      </c>
      <c r="Y1614">
        <v>0.14000000000000001</v>
      </c>
      <c r="Z1614">
        <v>2.6</v>
      </c>
      <c r="AA1614">
        <v>1.18</v>
      </c>
      <c r="AB1614">
        <v>0.28000000000000003</v>
      </c>
      <c r="AC1614">
        <v>6.31</v>
      </c>
      <c r="AD1614">
        <v>2.1</v>
      </c>
      <c r="AE1614">
        <v>7.21</v>
      </c>
      <c r="AF1614">
        <v>3.28</v>
      </c>
      <c r="AG1614" t="str">
        <f>HYPERLINK("https://finance.naver.com/item/fchart.naver?code=452980", "신한제11호스팩 차트보기")</f>
        <v>신한제11호스팩 차트보기</v>
      </c>
    </row>
    <row r="1615" spans="1:33" x14ac:dyDescent="0.3">
      <c r="A1615" t="s">
        <v>6487</v>
      </c>
      <c r="B1615" t="s">
        <v>34</v>
      </c>
      <c r="C1615" t="s">
        <v>6488</v>
      </c>
      <c r="D1615">
        <v>1503130.57</v>
      </c>
      <c r="E1615" t="s">
        <v>6489</v>
      </c>
      <c r="F1615">
        <v>6.45</v>
      </c>
      <c r="G1615">
        <v>0.81999999284744263</v>
      </c>
      <c r="H1615">
        <v>1159</v>
      </c>
      <c r="I1615">
        <v>1.470000028610229</v>
      </c>
      <c r="J1615" t="s">
        <v>6490</v>
      </c>
      <c r="K1615">
        <v>8730</v>
      </c>
      <c r="L1615">
        <v>7470</v>
      </c>
      <c r="M1615">
        <v>-14.43</v>
      </c>
      <c r="N1615">
        <v>11.83</v>
      </c>
      <c r="O1615">
        <v>-8.65</v>
      </c>
      <c r="P1615">
        <v>7.3</v>
      </c>
      <c r="Q1615">
        <v>-8.8800000000000008</v>
      </c>
      <c r="R1615">
        <v>0.76</v>
      </c>
      <c r="S1615">
        <v>-8.94</v>
      </c>
      <c r="T1615">
        <v>3.81</v>
      </c>
      <c r="U1615">
        <v>2.29</v>
      </c>
      <c r="V1615">
        <v>2</v>
      </c>
      <c r="W1615">
        <v>3.12</v>
      </c>
      <c r="X1615">
        <v>4.04</v>
      </c>
      <c r="Y1615">
        <v>1.46</v>
      </c>
      <c r="Z1615">
        <v>3.1</v>
      </c>
      <c r="AA1615">
        <v>3.78</v>
      </c>
      <c r="AB1615">
        <v>3.65</v>
      </c>
      <c r="AC1615">
        <v>2.85</v>
      </c>
      <c r="AD1615">
        <v>0.19</v>
      </c>
      <c r="AE1615">
        <v>6.12</v>
      </c>
      <c r="AF1615">
        <v>3.2816666666666658</v>
      </c>
      <c r="AG1615" t="str">
        <f>HYPERLINK("https://finance.naver.com/item/fchart.naver?code=042670", "HD현대인프라코어 차트보기")</f>
        <v>HD현대인프라코어 차트보기</v>
      </c>
    </row>
    <row r="1616" spans="1:33" x14ac:dyDescent="0.3">
      <c r="A1616" t="s">
        <v>6491</v>
      </c>
      <c r="B1616" t="s">
        <v>34</v>
      </c>
      <c r="C1616" t="s">
        <v>6492</v>
      </c>
      <c r="D1616">
        <v>2719045.48</v>
      </c>
      <c r="E1616" t="s">
        <v>6493</v>
      </c>
      <c r="F1616">
        <v>50.68</v>
      </c>
      <c r="G1616">
        <v>2.6500000953674321</v>
      </c>
      <c r="H1616">
        <v>736</v>
      </c>
      <c r="I1616">
        <v>0</v>
      </c>
      <c r="J1616" t="s">
        <v>6494</v>
      </c>
      <c r="K1616">
        <v>32900</v>
      </c>
      <c r="L1616">
        <v>37300</v>
      </c>
      <c r="M1616">
        <v>13.37</v>
      </c>
      <c r="N1616">
        <v>39.18</v>
      </c>
      <c r="O1616">
        <v>-12.58</v>
      </c>
      <c r="P1616">
        <v>-11.58</v>
      </c>
      <c r="Q1616">
        <v>5.98</v>
      </c>
      <c r="R1616">
        <v>-2.86</v>
      </c>
      <c r="S1616">
        <v>-1.77</v>
      </c>
      <c r="T1616">
        <v>7.7</v>
      </c>
      <c r="U1616">
        <v>1.81</v>
      </c>
      <c r="V1616">
        <v>2.52</v>
      </c>
      <c r="W1616">
        <v>4.6399999999999997</v>
      </c>
      <c r="X1616">
        <v>2.41</v>
      </c>
      <c r="Y1616">
        <v>3.1</v>
      </c>
      <c r="Z1616">
        <v>5.09</v>
      </c>
      <c r="AA1616">
        <v>6.95</v>
      </c>
      <c r="AB1616">
        <v>4.5999999999999996</v>
      </c>
      <c r="AC1616">
        <v>1.29</v>
      </c>
      <c r="AD1616">
        <v>1.19</v>
      </c>
      <c r="AE1616">
        <v>0.56999999999999995</v>
      </c>
      <c r="AF1616">
        <v>3.2816666666666672</v>
      </c>
      <c r="AG1616" t="str">
        <f>HYPERLINK("https://finance.naver.com/item/fchart.naver?code=042660", "한화오션 차트보기")</f>
        <v>한화오션 차트보기</v>
      </c>
    </row>
    <row r="1617" spans="1:33" x14ac:dyDescent="0.3">
      <c r="A1617" t="s">
        <v>6495</v>
      </c>
      <c r="B1617" t="s">
        <v>34</v>
      </c>
      <c r="C1617" t="s">
        <v>6496</v>
      </c>
      <c r="D1617">
        <v>262.10000000000002</v>
      </c>
      <c r="E1617" t="s">
        <v>6497</v>
      </c>
      <c r="F1617">
        <v>0</v>
      </c>
      <c r="G1617">
        <v>0</v>
      </c>
      <c r="H1617">
        <v>0</v>
      </c>
      <c r="I1617">
        <v>0</v>
      </c>
      <c r="J1617" t="s">
        <v>6498</v>
      </c>
      <c r="K1617">
        <v>6990</v>
      </c>
      <c r="L1617">
        <v>5540</v>
      </c>
      <c r="M1617">
        <v>-20.74</v>
      </c>
      <c r="N1617">
        <v>-1.95</v>
      </c>
      <c r="O1617">
        <v>-4.6100000000000003</v>
      </c>
      <c r="P1617">
        <v>-1.81</v>
      </c>
      <c r="Q1617">
        <v>-9.2799999999999994</v>
      </c>
      <c r="R1617">
        <v>-5.38</v>
      </c>
      <c r="S1617">
        <v>-2.7</v>
      </c>
      <c r="T1617">
        <v>1.55</v>
      </c>
      <c r="U1617">
        <v>0.88</v>
      </c>
      <c r="V1617">
        <v>3.41</v>
      </c>
      <c r="W1617">
        <v>1.52</v>
      </c>
      <c r="X1617">
        <v>1.27</v>
      </c>
      <c r="Y1617">
        <v>1.17</v>
      </c>
      <c r="Z1617">
        <v>1.26</v>
      </c>
      <c r="AA1617">
        <v>5.24</v>
      </c>
      <c r="AB1617">
        <v>0.53</v>
      </c>
      <c r="AC1617">
        <v>6.11</v>
      </c>
      <c r="AD1617">
        <v>4.24</v>
      </c>
      <c r="AE1617">
        <v>2.31</v>
      </c>
      <c r="AF1617">
        <v>3.2816666666666672</v>
      </c>
      <c r="AG1617" t="str">
        <f>HYPERLINK("https://finance.naver.com/item/fchart.naver?code=00781K", "코리아써키트2우B 차트보기")</f>
        <v>코리아써키트2우B 차트보기</v>
      </c>
    </row>
    <row r="1618" spans="1:33" x14ac:dyDescent="0.3">
      <c r="A1618" t="s">
        <v>6499</v>
      </c>
      <c r="B1618" t="s">
        <v>55</v>
      </c>
      <c r="C1618" t="s">
        <v>6500</v>
      </c>
      <c r="D1618">
        <v>128622.9</v>
      </c>
      <c r="E1618" t="s">
        <v>6501</v>
      </c>
      <c r="F1618">
        <v>0</v>
      </c>
      <c r="G1618">
        <v>0.70999997854232788</v>
      </c>
      <c r="H1618">
        <v>0</v>
      </c>
      <c r="I1618">
        <v>0</v>
      </c>
      <c r="J1618" t="s">
        <v>6502</v>
      </c>
      <c r="K1618">
        <v>5250</v>
      </c>
      <c r="L1618">
        <v>3865</v>
      </c>
      <c r="M1618">
        <v>-26.38</v>
      </c>
      <c r="N1618">
        <v>-3.74</v>
      </c>
      <c r="O1618">
        <v>-15.95</v>
      </c>
      <c r="P1618">
        <v>13.56</v>
      </c>
      <c r="Q1618">
        <v>0.24</v>
      </c>
      <c r="R1618">
        <v>-11.77</v>
      </c>
      <c r="S1618">
        <v>-3.74</v>
      </c>
      <c r="T1618">
        <v>1.55</v>
      </c>
      <c r="U1618">
        <v>2.67</v>
      </c>
      <c r="V1618">
        <v>3.66</v>
      </c>
      <c r="W1618">
        <v>7.81</v>
      </c>
      <c r="X1618">
        <v>2.11</v>
      </c>
      <c r="Y1618">
        <v>1.85</v>
      </c>
      <c r="Z1618">
        <v>2.41</v>
      </c>
      <c r="AA1618">
        <v>5.97</v>
      </c>
      <c r="AB1618">
        <v>3.7</v>
      </c>
      <c r="AC1618">
        <v>0.03</v>
      </c>
      <c r="AD1618">
        <v>5.58</v>
      </c>
      <c r="AE1618">
        <v>2.02</v>
      </c>
      <c r="AF1618">
        <v>3.2850000000000001</v>
      </c>
      <c r="AG1618" t="str">
        <f>HYPERLINK("https://finance.naver.com/item/fchart.naver?code=129920", "대성하이텍 차트보기")</f>
        <v>대성하이텍 차트보기</v>
      </c>
    </row>
    <row r="1619" spans="1:33" x14ac:dyDescent="0.3">
      <c r="A1619" t="s">
        <v>6503</v>
      </c>
      <c r="B1619" t="s">
        <v>55</v>
      </c>
      <c r="C1619" t="s">
        <v>6504</v>
      </c>
      <c r="D1619">
        <v>90938.19</v>
      </c>
      <c r="E1619" t="s">
        <v>6505</v>
      </c>
      <c r="F1619">
        <v>0</v>
      </c>
      <c r="G1619">
        <v>1.129999995231628</v>
      </c>
      <c r="H1619">
        <v>0</v>
      </c>
      <c r="I1619">
        <v>0</v>
      </c>
      <c r="J1619" t="s">
        <v>6506</v>
      </c>
      <c r="K1619">
        <v>7400</v>
      </c>
      <c r="L1619">
        <v>4560</v>
      </c>
      <c r="M1619">
        <v>-38.380000000000003</v>
      </c>
      <c r="N1619">
        <v>1</v>
      </c>
      <c r="O1619">
        <v>-11.06</v>
      </c>
      <c r="P1619">
        <v>-11.59</v>
      </c>
      <c r="Q1619">
        <v>-23.95</v>
      </c>
      <c r="R1619">
        <v>-16.399999999999999</v>
      </c>
      <c r="S1619">
        <v>10.88</v>
      </c>
      <c r="T1619">
        <v>2.44</v>
      </c>
      <c r="U1619">
        <v>2.9</v>
      </c>
      <c r="V1619">
        <v>3.1</v>
      </c>
      <c r="W1619">
        <v>5.05</v>
      </c>
      <c r="X1619">
        <v>4.26</v>
      </c>
      <c r="Y1619">
        <v>3.44</v>
      </c>
      <c r="Z1619">
        <v>0.41</v>
      </c>
      <c r="AA1619">
        <v>3.81</v>
      </c>
      <c r="AB1619">
        <v>3.74</v>
      </c>
      <c r="AC1619">
        <v>4.74</v>
      </c>
      <c r="AD1619">
        <v>3.85</v>
      </c>
      <c r="AE1619">
        <v>3.16</v>
      </c>
      <c r="AF1619">
        <v>3.2850000000000001</v>
      </c>
      <c r="AG1619" t="str">
        <f>HYPERLINK("https://finance.naver.com/item/fchart.naver?code=045970", "코아시아 차트보기")</f>
        <v>코아시아 차트보기</v>
      </c>
    </row>
    <row r="1620" spans="1:33" x14ac:dyDescent="0.3">
      <c r="A1620" t="s">
        <v>6507</v>
      </c>
      <c r="B1620" t="s">
        <v>55</v>
      </c>
      <c r="C1620" t="s">
        <v>6508</v>
      </c>
      <c r="D1620">
        <v>63422.19</v>
      </c>
      <c r="E1620" t="s">
        <v>6509</v>
      </c>
      <c r="F1620">
        <v>16.89</v>
      </c>
      <c r="G1620">
        <v>0.63999998569488525</v>
      </c>
      <c r="H1620">
        <v>1193</v>
      </c>
      <c r="I1620">
        <v>1.389999985694885</v>
      </c>
      <c r="J1620" t="s">
        <v>6510</v>
      </c>
      <c r="K1620">
        <v>28900</v>
      </c>
      <c r="L1620">
        <v>20150</v>
      </c>
      <c r="M1620">
        <v>-30.28</v>
      </c>
      <c r="N1620">
        <v>-1.95</v>
      </c>
      <c r="O1620">
        <v>-17.059999999999999</v>
      </c>
      <c r="P1620">
        <v>6.46</v>
      </c>
      <c r="Q1620">
        <v>-1.58</v>
      </c>
      <c r="R1620">
        <v>-6.99</v>
      </c>
      <c r="S1620">
        <v>-4.43</v>
      </c>
      <c r="T1620">
        <v>2.5499999999999998</v>
      </c>
      <c r="U1620">
        <v>2.76</v>
      </c>
      <c r="V1620">
        <v>1.48</v>
      </c>
      <c r="W1620">
        <v>3.21</v>
      </c>
      <c r="X1620">
        <v>1.28</v>
      </c>
      <c r="Y1620">
        <v>1.8</v>
      </c>
      <c r="Z1620">
        <v>0.76</v>
      </c>
      <c r="AA1620">
        <v>6.18</v>
      </c>
      <c r="AB1620">
        <v>4.3600000000000003</v>
      </c>
      <c r="AC1620">
        <v>0.49</v>
      </c>
      <c r="AD1620">
        <v>5.46</v>
      </c>
      <c r="AE1620">
        <v>2.46</v>
      </c>
      <c r="AF1620">
        <v>3.2850000000000001</v>
      </c>
      <c r="AG1620" t="str">
        <f>HYPERLINK("https://finance.naver.com/item/fchart.naver?code=056190", "에스에프에이 차트보기")</f>
        <v>에스에프에이 차트보기</v>
      </c>
    </row>
    <row r="1621" spans="1:33" x14ac:dyDescent="0.3">
      <c r="A1621" t="s">
        <v>6511</v>
      </c>
      <c r="B1621" t="s">
        <v>55</v>
      </c>
      <c r="C1621" t="s">
        <v>6512</v>
      </c>
      <c r="D1621">
        <v>26405.86</v>
      </c>
      <c r="E1621" t="s">
        <v>6513</v>
      </c>
      <c r="F1621">
        <v>0</v>
      </c>
      <c r="G1621">
        <v>0.76999998092651367</v>
      </c>
      <c r="H1621">
        <v>0</v>
      </c>
      <c r="I1621">
        <v>0</v>
      </c>
      <c r="J1621" t="s">
        <v>6514</v>
      </c>
      <c r="K1621">
        <v>1660</v>
      </c>
      <c r="L1621">
        <v>1019</v>
      </c>
      <c r="M1621">
        <v>-38.61</v>
      </c>
      <c r="N1621">
        <v>-3.23</v>
      </c>
      <c r="O1621">
        <v>-10.51</v>
      </c>
      <c r="P1621">
        <v>-7.18</v>
      </c>
      <c r="Q1621">
        <v>-9.66</v>
      </c>
      <c r="R1621">
        <v>-3.47</v>
      </c>
      <c r="S1621">
        <v>-19.239999999999998</v>
      </c>
      <c r="T1621">
        <v>1.87</v>
      </c>
      <c r="U1621">
        <v>1.95</v>
      </c>
      <c r="V1621">
        <v>2.83</v>
      </c>
      <c r="W1621">
        <v>5.38</v>
      </c>
      <c r="X1621">
        <v>1.85</v>
      </c>
      <c r="Y1621">
        <v>3.02</v>
      </c>
      <c r="Z1621">
        <v>1.73</v>
      </c>
      <c r="AA1621">
        <v>5.39</v>
      </c>
      <c r="AB1621">
        <v>2.54</v>
      </c>
      <c r="AC1621">
        <v>1.8</v>
      </c>
      <c r="AD1621">
        <v>1.88</v>
      </c>
      <c r="AE1621">
        <v>6.37</v>
      </c>
      <c r="AF1621">
        <v>3.2850000000000001</v>
      </c>
      <c r="AG1621" t="str">
        <f>HYPERLINK("https://finance.naver.com/item/fchart.naver?code=424760", "벨로크 차트보기")</f>
        <v>벨로크 차트보기</v>
      </c>
    </row>
    <row r="1622" spans="1:33" x14ac:dyDescent="0.3">
      <c r="A1622" t="s">
        <v>6515</v>
      </c>
      <c r="B1622" t="s">
        <v>34</v>
      </c>
      <c r="C1622" t="s">
        <v>6516</v>
      </c>
      <c r="D1622">
        <v>27744.33</v>
      </c>
      <c r="E1622" t="s">
        <v>6517</v>
      </c>
      <c r="F1622">
        <v>6.08</v>
      </c>
      <c r="G1622">
        <v>0.2099999934434891</v>
      </c>
      <c r="H1622">
        <v>778</v>
      </c>
      <c r="I1622">
        <v>2.6400001049041748</v>
      </c>
      <c r="J1622" t="s">
        <v>6518</v>
      </c>
      <c r="K1622">
        <v>4250</v>
      </c>
      <c r="L1622">
        <v>4730</v>
      </c>
      <c r="M1622">
        <v>11.29</v>
      </c>
      <c r="N1622">
        <v>3.96</v>
      </c>
      <c r="O1622">
        <v>1.33</v>
      </c>
      <c r="P1622">
        <v>-1.83</v>
      </c>
      <c r="Q1622">
        <v>-0.32</v>
      </c>
      <c r="R1622">
        <v>-3.52</v>
      </c>
      <c r="S1622">
        <v>6.61</v>
      </c>
      <c r="T1622">
        <v>0.51</v>
      </c>
      <c r="U1622">
        <v>1.28</v>
      </c>
      <c r="V1622">
        <v>0.88</v>
      </c>
      <c r="W1622">
        <v>1.53</v>
      </c>
      <c r="X1622">
        <v>0.78</v>
      </c>
      <c r="Y1622">
        <v>1.61</v>
      </c>
      <c r="Z1622">
        <v>7.76</v>
      </c>
      <c r="AA1622">
        <v>1.04</v>
      </c>
      <c r="AB1622">
        <v>2.08</v>
      </c>
      <c r="AC1622">
        <v>0.21</v>
      </c>
      <c r="AD1622">
        <v>4.51</v>
      </c>
      <c r="AE1622">
        <v>4.1100000000000003</v>
      </c>
      <c r="AF1622">
        <v>3.2850000000000001</v>
      </c>
      <c r="AG1622" t="str">
        <f>HYPERLINK("https://finance.naver.com/item/fchart.naver?code=005720", "넥센 차트보기")</f>
        <v>넥센 차트보기</v>
      </c>
    </row>
    <row r="1623" spans="1:33" x14ac:dyDescent="0.3">
      <c r="A1623" t="s">
        <v>6519</v>
      </c>
      <c r="B1623" t="s">
        <v>34</v>
      </c>
      <c r="C1623" t="s">
        <v>6520</v>
      </c>
      <c r="D1623">
        <v>211189.76000000001</v>
      </c>
      <c r="E1623" t="s">
        <v>6521</v>
      </c>
      <c r="F1623">
        <v>103.42</v>
      </c>
      <c r="G1623">
        <v>0.87999999523162842</v>
      </c>
      <c r="H1623">
        <v>263</v>
      </c>
      <c r="I1623">
        <v>0.33000001311302191</v>
      </c>
      <c r="J1623" t="s">
        <v>6522</v>
      </c>
      <c r="K1623">
        <v>12560</v>
      </c>
      <c r="L1623">
        <v>27200</v>
      </c>
      <c r="M1623">
        <v>116.56</v>
      </c>
      <c r="N1623">
        <v>8.8000000000000007</v>
      </c>
      <c r="O1623">
        <v>26.44</v>
      </c>
      <c r="P1623">
        <v>6.6</v>
      </c>
      <c r="Q1623">
        <v>24.98</v>
      </c>
      <c r="R1623">
        <v>1.08</v>
      </c>
      <c r="S1623">
        <v>-9.16</v>
      </c>
      <c r="T1623">
        <v>3.86</v>
      </c>
      <c r="U1623">
        <v>3.82</v>
      </c>
      <c r="V1623">
        <v>4.0199999999999996</v>
      </c>
      <c r="W1623">
        <v>5.1100000000000003</v>
      </c>
      <c r="X1623">
        <v>2.65</v>
      </c>
      <c r="Y1623">
        <v>2.56</v>
      </c>
      <c r="Z1623">
        <v>2.2799999999999998</v>
      </c>
      <c r="AA1623">
        <v>6.92</v>
      </c>
      <c r="AB1623">
        <v>1.64</v>
      </c>
      <c r="AC1623">
        <v>4.8899999999999997</v>
      </c>
      <c r="AD1623">
        <v>0.41</v>
      </c>
      <c r="AE1623">
        <v>3.58</v>
      </c>
      <c r="AF1623">
        <v>3.2866666666666671</v>
      </c>
      <c r="AG1623" t="str">
        <f>HYPERLINK("https://finance.naver.com/item/fchart.naver?code=013890", "지누스 차트보기")</f>
        <v>지누스 차트보기</v>
      </c>
    </row>
    <row r="1624" spans="1:33" x14ac:dyDescent="0.3">
      <c r="A1624" t="s">
        <v>6523</v>
      </c>
      <c r="B1624" t="s">
        <v>55</v>
      </c>
      <c r="C1624" t="s">
        <v>6524</v>
      </c>
      <c r="D1624">
        <v>333792.71000000002</v>
      </c>
      <c r="E1624" t="s">
        <v>6525</v>
      </c>
      <c r="F1624">
        <v>2.96</v>
      </c>
      <c r="G1624">
        <v>0.74000000953674316</v>
      </c>
      <c r="H1624">
        <v>1265</v>
      </c>
      <c r="I1624">
        <v>0</v>
      </c>
      <c r="J1624" t="s">
        <v>6526</v>
      </c>
      <c r="K1624">
        <v>4600</v>
      </c>
      <c r="L1624">
        <v>3740</v>
      </c>
      <c r="M1624">
        <v>-18.7</v>
      </c>
      <c r="N1624">
        <v>1.22</v>
      </c>
      <c r="O1624">
        <v>-4.4000000000000004</v>
      </c>
      <c r="P1624">
        <v>0.9</v>
      </c>
      <c r="Q1624">
        <v>-2.81</v>
      </c>
      <c r="R1624">
        <v>-8.01</v>
      </c>
      <c r="S1624">
        <v>2.42</v>
      </c>
      <c r="T1624">
        <v>1.33</v>
      </c>
      <c r="U1624">
        <v>0.99</v>
      </c>
      <c r="V1624">
        <v>1.42</v>
      </c>
      <c r="W1624">
        <v>8.39</v>
      </c>
      <c r="X1624">
        <v>0.66</v>
      </c>
      <c r="Y1624">
        <v>1.92</v>
      </c>
      <c r="Z1624">
        <v>0.92</v>
      </c>
      <c r="AA1624">
        <v>4.4400000000000004</v>
      </c>
      <c r="AB1624">
        <v>0.63</v>
      </c>
      <c r="AC1624">
        <v>0.33</v>
      </c>
      <c r="AD1624">
        <v>12.14</v>
      </c>
      <c r="AE1624">
        <v>1.26</v>
      </c>
      <c r="AF1624">
        <v>3.2866666666666671</v>
      </c>
      <c r="AG1624" t="str">
        <f>HYPERLINK("https://finance.naver.com/item/fchart.naver?code=053980", "오상자이엘 차트보기")</f>
        <v>오상자이엘 차트보기</v>
      </c>
    </row>
    <row r="1625" spans="1:33" x14ac:dyDescent="0.3">
      <c r="A1625" t="s">
        <v>6527</v>
      </c>
      <c r="B1625" t="s">
        <v>55</v>
      </c>
      <c r="C1625" t="s">
        <v>6528</v>
      </c>
      <c r="D1625">
        <v>2815.43</v>
      </c>
      <c r="E1625" t="s">
        <v>6529</v>
      </c>
      <c r="F1625">
        <v>19.61</v>
      </c>
      <c r="G1625">
        <v>1.570000052452087</v>
      </c>
      <c r="H1625">
        <v>923</v>
      </c>
      <c r="I1625">
        <v>3.589999914169312</v>
      </c>
      <c r="J1625" t="s">
        <v>6530</v>
      </c>
      <c r="K1625">
        <v>14940</v>
      </c>
      <c r="L1625">
        <v>18100</v>
      </c>
      <c r="M1625">
        <v>21.15</v>
      </c>
      <c r="N1625">
        <v>1</v>
      </c>
      <c r="O1625">
        <v>4.47</v>
      </c>
      <c r="P1625">
        <v>-0.28999999999999998</v>
      </c>
      <c r="Q1625">
        <v>5.97</v>
      </c>
      <c r="R1625">
        <v>3.84</v>
      </c>
      <c r="S1625">
        <v>4.62</v>
      </c>
      <c r="T1625">
        <v>0.99</v>
      </c>
      <c r="U1625">
        <v>1.01</v>
      </c>
      <c r="V1625">
        <v>0.61</v>
      </c>
      <c r="W1625">
        <v>1.62</v>
      </c>
      <c r="X1625">
        <v>0.88</v>
      </c>
      <c r="Y1625">
        <v>0.8</v>
      </c>
      <c r="Z1625">
        <v>1.01</v>
      </c>
      <c r="AA1625">
        <v>4.43</v>
      </c>
      <c r="AB1625">
        <v>0.48</v>
      </c>
      <c r="AC1625">
        <v>3.69</v>
      </c>
      <c r="AD1625">
        <v>4.3600000000000003</v>
      </c>
      <c r="AE1625">
        <v>5.77</v>
      </c>
      <c r="AF1625">
        <v>3.29</v>
      </c>
      <c r="AG1625" t="str">
        <f>HYPERLINK("https://finance.naver.com/item/fchart.naver?code=018120", "진로발효 차트보기")</f>
        <v>진로발효 차트보기</v>
      </c>
    </row>
    <row r="1626" spans="1:33" x14ac:dyDescent="0.3">
      <c r="A1626" t="s">
        <v>6531</v>
      </c>
      <c r="B1626" t="s">
        <v>55</v>
      </c>
      <c r="C1626" t="s">
        <v>6532</v>
      </c>
      <c r="D1626">
        <v>503595.86</v>
      </c>
      <c r="E1626" t="s">
        <v>6533</v>
      </c>
      <c r="F1626">
        <v>16.309999999999999</v>
      </c>
      <c r="G1626">
        <v>1.549999952316284</v>
      </c>
      <c r="H1626">
        <v>379</v>
      </c>
      <c r="I1626">
        <v>3.2400000095367432</v>
      </c>
      <c r="J1626" t="s">
        <v>6534</v>
      </c>
      <c r="K1626">
        <v>6950</v>
      </c>
      <c r="L1626">
        <v>6180</v>
      </c>
      <c r="M1626">
        <v>-11.08</v>
      </c>
      <c r="N1626">
        <v>4.3899999999999997</v>
      </c>
      <c r="O1626">
        <v>-6.47</v>
      </c>
      <c r="P1626">
        <v>-4.82</v>
      </c>
      <c r="Q1626">
        <v>-13.75</v>
      </c>
      <c r="R1626">
        <v>-17.829999999999998</v>
      </c>
      <c r="S1626">
        <v>82.38</v>
      </c>
      <c r="T1626">
        <v>3.48</v>
      </c>
      <c r="U1626">
        <v>3.08</v>
      </c>
      <c r="V1626">
        <v>3.19</v>
      </c>
      <c r="W1626">
        <v>5.38</v>
      </c>
      <c r="X1626">
        <v>4.34</v>
      </c>
      <c r="Y1626">
        <v>10.050000000000001</v>
      </c>
      <c r="Z1626">
        <v>1.26</v>
      </c>
      <c r="AA1626">
        <v>2.1</v>
      </c>
      <c r="AB1626">
        <v>1.51</v>
      </c>
      <c r="AC1626">
        <v>2.56</v>
      </c>
      <c r="AD1626">
        <v>4.1100000000000003</v>
      </c>
      <c r="AE1626">
        <v>8.1999999999999993</v>
      </c>
      <c r="AF1626">
        <v>3.29</v>
      </c>
      <c r="AG1626" t="str">
        <f>HYPERLINK("https://finance.naver.com/item/fchart.naver?code=147830", "제룡산업 차트보기")</f>
        <v>제룡산업 차트보기</v>
      </c>
    </row>
    <row r="1627" spans="1:33" x14ac:dyDescent="0.3">
      <c r="A1627" t="s">
        <v>6535</v>
      </c>
      <c r="B1627" t="s">
        <v>55</v>
      </c>
      <c r="C1627" t="s">
        <v>6536</v>
      </c>
      <c r="D1627">
        <v>194144.48</v>
      </c>
      <c r="E1627" t="s">
        <v>6537</v>
      </c>
      <c r="F1627">
        <v>0</v>
      </c>
      <c r="G1627">
        <v>1.059999942779541</v>
      </c>
      <c r="H1627">
        <v>0</v>
      </c>
      <c r="I1627">
        <v>0</v>
      </c>
      <c r="J1627" t="s">
        <v>6538</v>
      </c>
      <c r="K1627">
        <v>5550</v>
      </c>
      <c r="L1627">
        <v>2535</v>
      </c>
      <c r="M1627">
        <v>-54.32</v>
      </c>
      <c r="N1627">
        <v>-7.48</v>
      </c>
      <c r="O1627">
        <v>-9.3800000000000008</v>
      </c>
      <c r="P1627">
        <v>-18.809999999999999</v>
      </c>
      <c r="Q1627">
        <v>-32.03</v>
      </c>
      <c r="R1627">
        <v>-16.75</v>
      </c>
      <c r="S1627">
        <v>12.72</v>
      </c>
      <c r="T1627">
        <v>3.49</v>
      </c>
      <c r="U1627">
        <v>2.91</v>
      </c>
      <c r="V1627">
        <v>5.91</v>
      </c>
      <c r="W1627">
        <v>6.37</v>
      </c>
      <c r="X1627">
        <v>3.67</v>
      </c>
      <c r="Y1627">
        <v>7.92</v>
      </c>
      <c r="Z1627">
        <v>2.14</v>
      </c>
      <c r="AA1627">
        <v>3.22</v>
      </c>
      <c r="AB1627">
        <v>3.18</v>
      </c>
      <c r="AC1627">
        <v>5.03</v>
      </c>
      <c r="AD1627">
        <v>4.5599999999999996</v>
      </c>
      <c r="AE1627">
        <v>1.61</v>
      </c>
      <c r="AF1627">
        <v>3.29</v>
      </c>
      <c r="AG1627" t="str">
        <f>HYPERLINK("https://finance.naver.com/item/fchart.naver?code=200470", "에이팩트 차트보기")</f>
        <v>에이팩트 차트보기</v>
      </c>
    </row>
    <row r="1628" spans="1:33" x14ac:dyDescent="0.3">
      <c r="A1628" t="s">
        <v>6539</v>
      </c>
      <c r="B1628" t="s">
        <v>55</v>
      </c>
      <c r="C1628" t="s">
        <v>6540</v>
      </c>
      <c r="D1628">
        <v>3858.43</v>
      </c>
      <c r="E1628" t="s">
        <v>6541</v>
      </c>
      <c r="F1628">
        <v>0</v>
      </c>
      <c r="G1628">
        <v>0</v>
      </c>
      <c r="H1628">
        <v>0</v>
      </c>
      <c r="I1628">
        <v>0</v>
      </c>
      <c r="J1628" t="s">
        <v>6542</v>
      </c>
      <c r="K1628">
        <v>2085</v>
      </c>
      <c r="L1628">
        <v>2030</v>
      </c>
      <c r="M1628">
        <v>-2.64</v>
      </c>
      <c r="N1628">
        <v>-0.49</v>
      </c>
      <c r="O1628">
        <v>0.25</v>
      </c>
      <c r="P1628">
        <v>-1.21</v>
      </c>
      <c r="Q1628">
        <v>-2.14</v>
      </c>
      <c r="R1628">
        <v>1.44</v>
      </c>
      <c r="S1628">
        <v>0.24</v>
      </c>
      <c r="T1628">
        <v>0.37</v>
      </c>
      <c r="U1628">
        <v>0.34</v>
      </c>
      <c r="V1628">
        <v>0.41</v>
      </c>
      <c r="W1628">
        <v>0.26</v>
      </c>
      <c r="X1628">
        <v>0.26</v>
      </c>
      <c r="Y1628">
        <v>0.25</v>
      </c>
      <c r="Z1628">
        <v>1.32</v>
      </c>
      <c r="AA1628">
        <v>0.74</v>
      </c>
      <c r="AB1628">
        <v>2.95</v>
      </c>
      <c r="AC1628">
        <v>8.23</v>
      </c>
      <c r="AD1628">
        <v>5.54</v>
      </c>
      <c r="AE1628">
        <v>0.96</v>
      </c>
      <c r="AF1628">
        <v>3.29</v>
      </c>
      <c r="AG1628" t="str">
        <f>HYPERLINK("https://finance.naver.com/item/fchart.naver?code=462020", "에이치엠씨제6호스팩 차트보기")</f>
        <v>에이치엠씨제6호스팩 차트보기</v>
      </c>
    </row>
    <row r="1629" spans="1:33" x14ac:dyDescent="0.3">
      <c r="A1629" t="s">
        <v>6543</v>
      </c>
      <c r="B1629" t="s">
        <v>55</v>
      </c>
      <c r="C1629" t="s">
        <v>6544</v>
      </c>
      <c r="D1629">
        <v>301513.57</v>
      </c>
      <c r="E1629" t="s">
        <v>6545</v>
      </c>
      <c r="F1629">
        <v>0</v>
      </c>
      <c r="G1629">
        <v>1.419999957084656</v>
      </c>
      <c r="H1629">
        <v>0</v>
      </c>
      <c r="I1629">
        <v>0</v>
      </c>
      <c r="J1629" t="s">
        <v>6546</v>
      </c>
      <c r="K1629">
        <v>4850</v>
      </c>
      <c r="L1629">
        <v>3430</v>
      </c>
      <c r="M1629">
        <v>-29.28</v>
      </c>
      <c r="N1629">
        <v>-4.72</v>
      </c>
      <c r="O1629">
        <v>30.04</v>
      </c>
      <c r="P1629">
        <v>-15.88</v>
      </c>
      <c r="Q1629">
        <v>-12.41</v>
      </c>
      <c r="R1629">
        <v>-15.15</v>
      </c>
      <c r="S1629">
        <v>1.48</v>
      </c>
      <c r="T1629">
        <v>3.07</v>
      </c>
      <c r="U1629">
        <v>5.55</v>
      </c>
      <c r="V1629">
        <v>2.52</v>
      </c>
      <c r="W1629">
        <v>5.63</v>
      </c>
      <c r="X1629">
        <v>3.94</v>
      </c>
      <c r="Y1629">
        <v>3.39</v>
      </c>
      <c r="Z1629">
        <v>1.54</v>
      </c>
      <c r="AA1629">
        <v>5.41</v>
      </c>
      <c r="AB1629">
        <v>6.3</v>
      </c>
      <c r="AC1629">
        <v>2.2000000000000002</v>
      </c>
      <c r="AD1629">
        <v>3.85</v>
      </c>
      <c r="AE1629">
        <v>0.44</v>
      </c>
      <c r="AF1629">
        <v>3.29</v>
      </c>
      <c r="AG1629" t="str">
        <f>HYPERLINK("https://finance.naver.com/item/fchart.naver?code=317770", "엑스페릭스 차트보기")</f>
        <v>엑스페릭스 차트보기</v>
      </c>
    </row>
    <row r="1630" spans="1:33" x14ac:dyDescent="0.3">
      <c r="A1630" t="s">
        <v>6547</v>
      </c>
      <c r="B1630" t="s">
        <v>55</v>
      </c>
      <c r="C1630" t="s">
        <v>6548</v>
      </c>
      <c r="D1630">
        <v>15169.24</v>
      </c>
      <c r="E1630" t="s">
        <v>6549</v>
      </c>
      <c r="F1630">
        <v>0</v>
      </c>
      <c r="G1630">
        <v>1.5199999809265139</v>
      </c>
      <c r="H1630">
        <v>0</v>
      </c>
      <c r="I1630">
        <v>0</v>
      </c>
      <c r="J1630" t="s">
        <v>6550</v>
      </c>
      <c r="K1630">
        <v>22150</v>
      </c>
      <c r="L1630">
        <v>18350</v>
      </c>
      <c r="M1630">
        <v>-17.16</v>
      </c>
      <c r="N1630">
        <v>-3.17</v>
      </c>
      <c r="O1630">
        <v>3.46</v>
      </c>
      <c r="P1630">
        <v>-10.63</v>
      </c>
      <c r="Q1630">
        <v>-11.32</v>
      </c>
      <c r="R1630">
        <v>6.4</v>
      </c>
      <c r="S1630">
        <v>-8.6300000000000008</v>
      </c>
      <c r="T1630">
        <v>1.61</v>
      </c>
      <c r="U1630">
        <v>1.87</v>
      </c>
      <c r="V1630">
        <v>2.11</v>
      </c>
      <c r="W1630">
        <v>2.95</v>
      </c>
      <c r="X1630">
        <v>5.29</v>
      </c>
      <c r="Y1630">
        <v>1.48</v>
      </c>
      <c r="Z1630">
        <v>1.97</v>
      </c>
      <c r="AA1630">
        <v>1.85</v>
      </c>
      <c r="AB1630">
        <v>5.04</v>
      </c>
      <c r="AC1630">
        <v>3.84</v>
      </c>
      <c r="AD1630">
        <v>1.21</v>
      </c>
      <c r="AE1630">
        <v>5.83</v>
      </c>
      <c r="AF1630">
        <v>3.29</v>
      </c>
      <c r="AG1630" t="str">
        <f>HYPERLINK("https://finance.naver.com/item/fchart.naver?code=102940", "코오롱생명과학 차트보기")</f>
        <v>코오롱생명과학 차트보기</v>
      </c>
    </row>
    <row r="1631" spans="1:33" x14ac:dyDescent="0.3">
      <c r="A1631" t="s">
        <v>6551</v>
      </c>
      <c r="B1631" t="s">
        <v>55</v>
      </c>
      <c r="C1631" t="s">
        <v>6552</v>
      </c>
      <c r="D1631">
        <v>29165.48</v>
      </c>
      <c r="E1631" t="s">
        <v>6553</v>
      </c>
      <c r="F1631">
        <v>0</v>
      </c>
      <c r="G1631">
        <v>0.94999998807907104</v>
      </c>
      <c r="H1631">
        <v>0</v>
      </c>
      <c r="I1631">
        <v>0</v>
      </c>
      <c r="J1631" t="s">
        <v>6554</v>
      </c>
      <c r="K1631">
        <v>21700</v>
      </c>
      <c r="L1631">
        <v>8960</v>
      </c>
      <c r="M1631">
        <v>-58.71</v>
      </c>
      <c r="N1631">
        <v>-4.07</v>
      </c>
      <c r="O1631">
        <v>-11.06</v>
      </c>
      <c r="P1631">
        <v>-15.41</v>
      </c>
      <c r="Q1631">
        <v>-12.03</v>
      </c>
      <c r="R1631">
        <v>-27.45</v>
      </c>
      <c r="S1631">
        <v>-38.659999999999997</v>
      </c>
      <c r="T1631">
        <v>4.05</v>
      </c>
      <c r="U1631">
        <v>3.05</v>
      </c>
      <c r="V1631">
        <v>5.99</v>
      </c>
      <c r="W1631">
        <v>5.97</v>
      </c>
      <c r="X1631">
        <v>3.57</v>
      </c>
      <c r="Y1631">
        <v>13.68</v>
      </c>
      <c r="Z1631">
        <v>1</v>
      </c>
      <c r="AA1631">
        <v>3.63</v>
      </c>
      <c r="AB1631">
        <v>2.57</v>
      </c>
      <c r="AC1631">
        <v>2.02</v>
      </c>
      <c r="AD1631">
        <v>7.69</v>
      </c>
      <c r="AE1631">
        <v>2.83</v>
      </c>
      <c r="AF1631">
        <v>3.29</v>
      </c>
      <c r="AG1631" t="str">
        <f>HYPERLINK("https://finance.naver.com/item/fchart.naver?code=109670", "씨싸이트 차트보기")</f>
        <v>씨싸이트 차트보기</v>
      </c>
    </row>
    <row r="1632" spans="1:33" x14ac:dyDescent="0.3">
      <c r="A1632" t="s">
        <v>6555</v>
      </c>
      <c r="B1632" t="s">
        <v>55</v>
      </c>
      <c r="C1632" t="s">
        <v>6556</v>
      </c>
      <c r="D1632">
        <v>1005972.62</v>
      </c>
      <c r="E1632" t="s">
        <v>6557</v>
      </c>
      <c r="F1632">
        <v>49.7</v>
      </c>
      <c r="G1632">
        <v>0.88999998569488525</v>
      </c>
      <c r="H1632">
        <v>50</v>
      </c>
      <c r="I1632">
        <v>4.0199999809265137</v>
      </c>
      <c r="J1632" t="s">
        <v>6558</v>
      </c>
      <c r="K1632">
        <v>3985</v>
      </c>
      <c r="L1632">
        <v>2485</v>
      </c>
      <c r="M1632">
        <v>-37.64</v>
      </c>
      <c r="N1632">
        <v>-10.29</v>
      </c>
      <c r="O1632">
        <v>10.74</v>
      </c>
      <c r="P1632">
        <v>-3.26</v>
      </c>
      <c r="Q1632">
        <v>-16.850000000000001</v>
      </c>
      <c r="R1632">
        <v>-6.31</v>
      </c>
      <c r="S1632">
        <v>-7.14</v>
      </c>
      <c r="T1632">
        <v>2.8</v>
      </c>
      <c r="U1632">
        <v>3.56</v>
      </c>
      <c r="V1632">
        <v>8.3800000000000008</v>
      </c>
      <c r="W1632">
        <v>4.59</v>
      </c>
      <c r="X1632">
        <v>1.4</v>
      </c>
      <c r="Y1632">
        <v>1.59</v>
      </c>
      <c r="Z1632">
        <v>3.67</v>
      </c>
      <c r="AA1632">
        <v>3.02</v>
      </c>
      <c r="AB1632">
        <v>0.39</v>
      </c>
      <c r="AC1632">
        <v>3.67</v>
      </c>
      <c r="AD1632">
        <v>4.51</v>
      </c>
      <c r="AE1632">
        <v>4.49</v>
      </c>
      <c r="AF1632">
        <v>3.291666666666667</v>
      </c>
      <c r="AG1632" t="str">
        <f>HYPERLINK("https://finance.naver.com/item/fchart.naver?code=051380", "피씨디렉트 차트보기")</f>
        <v>피씨디렉트 차트보기</v>
      </c>
    </row>
    <row r="1633" spans="1:33" x14ac:dyDescent="0.3">
      <c r="A1633" t="s">
        <v>6559</v>
      </c>
      <c r="B1633" t="s">
        <v>34</v>
      </c>
      <c r="C1633" t="s">
        <v>6560</v>
      </c>
      <c r="D1633">
        <v>71560.67</v>
      </c>
      <c r="E1633" t="s">
        <v>6561</v>
      </c>
      <c r="F1633">
        <v>0</v>
      </c>
      <c r="G1633">
        <v>1.3500000238418579</v>
      </c>
      <c r="H1633">
        <v>0</v>
      </c>
      <c r="I1633">
        <v>0.97000002861022949</v>
      </c>
      <c r="J1633" t="s">
        <v>6562</v>
      </c>
      <c r="K1633">
        <v>114600</v>
      </c>
      <c r="L1633">
        <v>154000</v>
      </c>
      <c r="M1633">
        <v>34.380000000000003</v>
      </c>
      <c r="N1633">
        <v>1.18</v>
      </c>
      <c r="O1633">
        <v>11.46</v>
      </c>
      <c r="P1633">
        <v>-9.01</v>
      </c>
      <c r="Q1633">
        <v>18.350000000000001</v>
      </c>
      <c r="R1633">
        <v>15.46</v>
      </c>
      <c r="S1633">
        <v>-1.21</v>
      </c>
      <c r="T1633">
        <v>4.3499999999999996</v>
      </c>
      <c r="U1633">
        <v>2.7</v>
      </c>
      <c r="V1633">
        <v>3.3</v>
      </c>
      <c r="W1633">
        <v>4.79</v>
      </c>
      <c r="X1633">
        <v>2.0699999999999998</v>
      </c>
      <c r="Y1633">
        <v>0.99</v>
      </c>
      <c r="Z1633">
        <v>0.27</v>
      </c>
      <c r="AA1633">
        <v>4.24</v>
      </c>
      <c r="AB1633">
        <v>2.73</v>
      </c>
      <c r="AC1633">
        <v>3.83</v>
      </c>
      <c r="AD1633">
        <v>7.47</v>
      </c>
      <c r="AE1633">
        <v>1.22</v>
      </c>
      <c r="AF1633">
        <v>3.293333333333333</v>
      </c>
      <c r="AG1633" t="str">
        <f>HYPERLINK("https://finance.naver.com/item/fchart.naver?code=006280", "녹십자 차트보기")</f>
        <v>녹십자 차트보기</v>
      </c>
    </row>
    <row r="1634" spans="1:33" x14ac:dyDescent="0.3">
      <c r="A1634" t="s">
        <v>6563</v>
      </c>
      <c r="B1634" t="s">
        <v>55</v>
      </c>
      <c r="C1634" t="s">
        <v>6564</v>
      </c>
      <c r="D1634">
        <v>8988.43</v>
      </c>
      <c r="E1634" t="s">
        <v>6565</v>
      </c>
      <c r="F1634">
        <v>3.42</v>
      </c>
      <c r="G1634">
        <v>0.30000001192092901</v>
      </c>
      <c r="H1634">
        <v>2624</v>
      </c>
      <c r="I1634">
        <v>2.779999971389771</v>
      </c>
      <c r="J1634" t="s">
        <v>6566</v>
      </c>
      <c r="K1634">
        <v>10260</v>
      </c>
      <c r="L1634">
        <v>8980</v>
      </c>
      <c r="M1634">
        <v>-12.48</v>
      </c>
      <c r="N1634">
        <v>-1.21</v>
      </c>
      <c r="O1634">
        <v>-1.62</v>
      </c>
      <c r="P1634">
        <v>-6.75</v>
      </c>
      <c r="Q1634">
        <v>-1.03</v>
      </c>
      <c r="R1634">
        <v>3.71</v>
      </c>
      <c r="S1634">
        <v>-5.62</v>
      </c>
      <c r="T1634">
        <v>1.1399999999999999</v>
      </c>
      <c r="U1634">
        <v>0.37</v>
      </c>
      <c r="V1634">
        <v>1.63</v>
      </c>
      <c r="W1634">
        <v>2.0699999999999998</v>
      </c>
      <c r="X1634">
        <v>1.98</v>
      </c>
      <c r="Y1634">
        <v>0.72</v>
      </c>
      <c r="Z1634">
        <v>1.06</v>
      </c>
      <c r="AA1634">
        <v>4.38</v>
      </c>
      <c r="AB1634">
        <v>4.1399999999999997</v>
      </c>
      <c r="AC1634">
        <v>0.5</v>
      </c>
      <c r="AD1634">
        <v>1.87</v>
      </c>
      <c r="AE1634">
        <v>7.81</v>
      </c>
      <c r="AF1634">
        <v>3.293333333333333</v>
      </c>
      <c r="AG1634" t="str">
        <f>HYPERLINK("https://finance.naver.com/item/fchart.naver?code=054800", "아이디스홀딩스 차트보기")</f>
        <v>아이디스홀딩스 차트보기</v>
      </c>
    </row>
    <row r="1635" spans="1:33" x14ac:dyDescent="0.3">
      <c r="A1635" t="s">
        <v>6567</v>
      </c>
      <c r="B1635" t="s">
        <v>34</v>
      </c>
      <c r="C1635" t="s">
        <v>6568</v>
      </c>
      <c r="D1635">
        <v>17053.52</v>
      </c>
      <c r="E1635" t="s">
        <v>6569</v>
      </c>
      <c r="F1635">
        <v>4.22</v>
      </c>
      <c r="G1635">
        <v>0.85000002384185791</v>
      </c>
      <c r="H1635">
        <v>4321</v>
      </c>
      <c r="I1635">
        <v>3.0699999332427979</v>
      </c>
      <c r="J1635" t="s">
        <v>6570</v>
      </c>
      <c r="K1635">
        <v>25450</v>
      </c>
      <c r="L1635">
        <v>18240</v>
      </c>
      <c r="M1635">
        <v>-28.33</v>
      </c>
      <c r="N1635">
        <v>-0.11</v>
      </c>
      <c r="O1635">
        <v>-2.79</v>
      </c>
      <c r="P1635">
        <v>8.98</v>
      </c>
      <c r="Q1635">
        <v>-13.4</v>
      </c>
      <c r="R1635">
        <v>-11.09</v>
      </c>
      <c r="S1635">
        <v>-11.99</v>
      </c>
      <c r="T1635">
        <v>2.41</v>
      </c>
      <c r="U1635">
        <v>2.37</v>
      </c>
      <c r="V1635">
        <v>3.31</v>
      </c>
      <c r="W1635">
        <v>3.65</v>
      </c>
      <c r="X1635">
        <v>2.23</v>
      </c>
      <c r="Y1635">
        <v>1.67</v>
      </c>
      <c r="Z1635">
        <v>0.05</v>
      </c>
      <c r="AA1635">
        <v>1.18</v>
      </c>
      <c r="AB1635">
        <v>2.71</v>
      </c>
      <c r="AC1635">
        <v>3.67</v>
      </c>
      <c r="AD1635">
        <v>4.97</v>
      </c>
      <c r="AE1635">
        <v>7.18</v>
      </c>
      <c r="AF1635">
        <v>3.293333333333333</v>
      </c>
      <c r="AG1635" t="str">
        <f>HYPERLINK("https://finance.naver.com/item/fchart.naver?code=111380", "동인기연 차트보기")</f>
        <v>동인기연 차트보기</v>
      </c>
    </row>
    <row r="1636" spans="1:33" x14ac:dyDescent="0.3">
      <c r="A1636" t="s">
        <v>6571</v>
      </c>
      <c r="B1636" t="s">
        <v>55</v>
      </c>
      <c r="C1636" t="s">
        <v>6572</v>
      </c>
      <c r="D1636">
        <v>167996.29</v>
      </c>
      <c r="E1636" t="s">
        <v>6573</v>
      </c>
      <c r="F1636">
        <v>0</v>
      </c>
      <c r="G1636">
        <v>1.6000000238418579</v>
      </c>
      <c r="H1636">
        <v>0</v>
      </c>
      <c r="I1636">
        <v>0</v>
      </c>
      <c r="J1636" t="s">
        <v>6574</v>
      </c>
      <c r="K1636">
        <v>606</v>
      </c>
      <c r="L1636">
        <v>420</v>
      </c>
      <c r="M1636">
        <v>-30.69</v>
      </c>
      <c r="N1636">
        <v>-7.08</v>
      </c>
      <c r="O1636">
        <v>-2.59</v>
      </c>
      <c r="P1636">
        <v>6.05</v>
      </c>
      <c r="Q1636">
        <v>-17.52</v>
      </c>
      <c r="R1636">
        <v>-5.0999999999999996</v>
      </c>
      <c r="S1636">
        <v>-12.19</v>
      </c>
      <c r="T1636">
        <v>2.08</v>
      </c>
      <c r="U1636">
        <v>5.83</v>
      </c>
      <c r="V1636">
        <v>8.1</v>
      </c>
      <c r="W1636">
        <v>2.83</v>
      </c>
      <c r="X1636">
        <v>1.52</v>
      </c>
      <c r="Y1636">
        <v>2.17</v>
      </c>
      <c r="Z1636">
        <v>3.4</v>
      </c>
      <c r="AA1636">
        <v>0.44</v>
      </c>
      <c r="AB1636">
        <v>0.75</v>
      </c>
      <c r="AC1636">
        <v>6.19</v>
      </c>
      <c r="AD1636">
        <v>3.36</v>
      </c>
      <c r="AE1636">
        <v>5.62</v>
      </c>
      <c r="AF1636">
        <v>3.293333333333333</v>
      </c>
      <c r="AG1636" t="str">
        <f>HYPERLINK("https://finance.naver.com/item/fchart.naver?code=035290", "골드앤에스 차트보기")</f>
        <v>골드앤에스 차트보기</v>
      </c>
    </row>
    <row r="1637" spans="1:33" x14ac:dyDescent="0.3">
      <c r="A1637" t="s">
        <v>6575</v>
      </c>
      <c r="B1637" t="s">
        <v>34</v>
      </c>
      <c r="C1637" t="s">
        <v>6576</v>
      </c>
      <c r="D1637">
        <v>74268.38</v>
      </c>
      <c r="E1637" t="s">
        <v>6577</v>
      </c>
      <c r="F1637">
        <v>5.08</v>
      </c>
      <c r="G1637">
        <v>0.5</v>
      </c>
      <c r="H1637">
        <v>668</v>
      </c>
      <c r="I1637">
        <v>3.529999971389771</v>
      </c>
      <c r="J1637" t="s">
        <v>6578</v>
      </c>
      <c r="K1637">
        <v>3900</v>
      </c>
      <c r="L1637">
        <v>3395</v>
      </c>
      <c r="M1637">
        <v>-12.95</v>
      </c>
      <c r="N1637">
        <v>-4.9000000000000004</v>
      </c>
      <c r="O1637">
        <v>4.55</v>
      </c>
      <c r="P1637">
        <v>4.91</v>
      </c>
      <c r="Q1637">
        <v>-3.52</v>
      </c>
      <c r="R1637">
        <v>-11.1</v>
      </c>
      <c r="S1637">
        <v>-1.61</v>
      </c>
      <c r="T1637">
        <v>1.57</v>
      </c>
      <c r="U1637">
        <v>1.64</v>
      </c>
      <c r="V1637">
        <v>2.35</v>
      </c>
      <c r="W1637">
        <v>3.91</v>
      </c>
      <c r="X1637">
        <v>1.0900000000000001</v>
      </c>
      <c r="Y1637">
        <v>2.2799999999999998</v>
      </c>
      <c r="Z1637">
        <v>3.12</v>
      </c>
      <c r="AA1637">
        <v>2.77</v>
      </c>
      <c r="AB1637">
        <v>2.09</v>
      </c>
      <c r="AC1637">
        <v>0.9</v>
      </c>
      <c r="AD1637">
        <v>10.18</v>
      </c>
      <c r="AE1637">
        <v>0.71</v>
      </c>
      <c r="AF1637">
        <v>3.2949999999999999</v>
      </c>
      <c r="AG1637" t="str">
        <f>HYPERLINK("https://finance.naver.com/item/fchart.naver?code=016740", "두올 차트보기")</f>
        <v>두올 차트보기</v>
      </c>
    </row>
    <row r="1638" spans="1:33" x14ac:dyDescent="0.3">
      <c r="A1638" t="s">
        <v>6579</v>
      </c>
      <c r="B1638" t="s">
        <v>55</v>
      </c>
      <c r="C1638" t="s">
        <v>6580</v>
      </c>
      <c r="D1638">
        <v>83713.67</v>
      </c>
      <c r="E1638" t="s">
        <v>6581</v>
      </c>
      <c r="F1638">
        <v>12.55</v>
      </c>
      <c r="G1638">
        <v>1.190000057220459</v>
      </c>
      <c r="H1638">
        <v>846</v>
      </c>
      <c r="I1638">
        <v>0</v>
      </c>
      <c r="J1638" t="s">
        <v>6582</v>
      </c>
      <c r="K1638">
        <v>28150</v>
      </c>
      <c r="L1638">
        <v>10620</v>
      </c>
      <c r="M1638">
        <v>-62.27</v>
      </c>
      <c r="N1638">
        <v>-8.84</v>
      </c>
      <c r="O1638">
        <v>-11.56</v>
      </c>
      <c r="P1638">
        <v>-2.14</v>
      </c>
      <c r="Q1638">
        <v>-22.58</v>
      </c>
      <c r="R1638">
        <v>-21.78</v>
      </c>
      <c r="S1638">
        <v>-3.48</v>
      </c>
      <c r="T1638">
        <v>3.03</v>
      </c>
      <c r="U1638">
        <v>2.67</v>
      </c>
      <c r="V1638">
        <v>3.57</v>
      </c>
      <c r="W1638">
        <v>5.26</v>
      </c>
      <c r="X1638">
        <v>3.34</v>
      </c>
      <c r="Y1638">
        <v>3.1</v>
      </c>
      <c r="Z1638">
        <v>2.92</v>
      </c>
      <c r="AA1638">
        <v>4.33</v>
      </c>
      <c r="AB1638">
        <v>0.6</v>
      </c>
      <c r="AC1638">
        <v>4.29</v>
      </c>
      <c r="AD1638">
        <v>6.52</v>
      </c>
      <c r="AE1638">
        <v>1.1200000000000001</v>
      </c>
      <c r="AF1638">
        <v>3.2966666666666669</v>
      </c>
      <c r="AG1638" t="str">
        <f>HYPERLINK("https://finance.naver.com/item/fchart.naver?code=078350", "한양디지텍 차트보기")</f>
        <v>한양디지텍 차트보기</v>
      </c>
    </row>
    <row r="1639" spans="1:33" x14ac:dyDescent="0.3">
      <c r="A1639" t="s">
        <v>6583</v>
      </c>
      <c r="B1639" t="s">
        <v>55</v>
      </c>
      <c r="C1639" t="s">
        <v>6584</v>
      </c>
      <c r="D1639">
        <v>20239.669999999998</v>
      </c>
      <c r="E1639" t="s">
        <v>6585</v>
      </c>
      <c r="F1639">
        <v>15.1</v>
      </c>
      <c r="G1639">
        <v>0.93000000715255737</v>
      </c>
      <c r="H1639">
        <v>514</v>
      </c>
      <c r="I1639">
        <v>1.2899999618530269</v>
      </c>
      <c r="J1639" t="s">
        <v>6586</v>
      </c>
      <c r="K1639">
        <v>10260</v>
      </c>
      <c r="L1639">
        <v>7760</v>
      </c>
      <c r="M1639">
        <v>-24.37</v>
      </c>
      <c r="N1639">
        <v>-2.63</v>
      </c>
      <c r="O1639">
        <v>-6.18</v>
      </c>
      <c r="P1639">
        <v>-3.11</v>
      </c>
      <c r="Q1639">
        <v>-3.09</v>
      </c>
      <c r="R1639">
        <v>-2.74</v>
      </c>
      <c r="S1639">
        <v>-8.5399999999999991</v>
      </c>
      <c r="T1639">
        <v>1.56</v>
      </c>
      <c r="U1639">
        <v>0.86</v>
      </c>
      <c r="V1639">
        <v>1.99</v>
      </c>
      <c r="W1639">
        <v>3.32</v>
      </c>
      <c r="X1639">
        <v>0.77</v>
      </c>
      <c r="Y1639">
        <v>1.76</v>
      </c>
      <c r="Z1639">
        <v>1.69</v>
      </c>
      <c r="AA1639">
        <v>7.19</v>
      </c>
      <c r="AB1639">
        <v>1.56</v>
      </c>
      <c r="AC1639">
        <v>0.93</v>
      </c>
      <c r="AD1639">
        <v>3.56</v>
      </c>
      <c r="AE1639">
        <v>4.8499999999999996</v>
      </c>
      <c r="AF1639">
        <v>3.2966666666666669</v>
      </c>
      <c r="AG1639" t="str">
        <f>HYPERLINK("https://finance.naver.com/item/fchart.naver?code=048910", "대원미디어 차트보기")</f>
        <v>대원미디어 차트보기</v>
      </c>
    </row>
    <row r="1640" spans="1:33" x14ac:dyDescent="0.3">
      <c r="A1640" t="s">
        <v>6587</v>
      </c>
      <c r="B1640" t="s">
        <v>34</v>
      </c>
      <c r="C1640" t="s">
        <v>6588</v>
      </c>
      <c r="D1640">
        <v>1276.05</v>
      </c>
      <c r="E1640" t="s">
        <v>6589</v>
      </c>
      <c r="F1640">
        <v>0</v>
      </c>
      <c r="G1640">
        <v>0</v>
      </c>
      <c r="H1640">
        <v>0</v>
      </c>
      <c r="I1640">
        <v>5.4200000762939453</v>
      </c>
      <c r="J1640" t="s">
        <v>6590</v>
      </c>
      <c r="K1640">
        <v>66800</v>
      </c>
      <c r="L1640">
        <v>56300</v>
      </c>
      <c r="M1640">
        <v>-15.72</v>
      </c>
      <c r="N1640">
        <v>-0.53</v>
      </c>
      <c r="O1640">
        <v>-5.35</v>
      </c>
      <c r="P1640">
        <v>2.0299999999999998</v>
      </c>
      <c r="Q1640">
        <v>-3.14</v>
      </c>
      <c r="R1640">
        <v>0.33</v>
      </c>
      <c r="S1640">
        <v>-4.5999999999999996</v>
      </c>
      <c r="T1640">
        <v>0.75</v>
      </c>
      <c r="U1640">
        <v>0.48</v>
      </c>
      <c r="V1640">
        <v>1.1200000000000001</v>
      </c>
      <c r="W1640">
        <v>1.94</v>
      </c>
      <c r="X1640">
        <v>1.67</v>
      </c>
      <c r="Y1640">
        <v>1.07</v>
      </c>
      <c r="Z1640">
        <v>0.71</v>
      </c>
      <c r="AA1640">
        <v>11.15</v>
      </c>
      <c r="AB1640">
        <v>1.81</v>
      </c>
      <c r="AC1640">
        <v>1.62</v>
      </c>
      <c r="AD1640">
        <v>0.2</v>
      </c>
      <c r="AE1640">
        <v>4.3</v>
      </c>
      <c r="AF1640">
        <v>3.2983333333333329</v>
      </c>
      <c r="AG1640" t="str">
        <f>HYPERLINK("https://finance.naver.com/item/fchart.naver?code=001045", "CJ우 차트보기")</f>
        <v>CJ우 차트보기</v>
      </c>
    </row>
    <row r="1641" spans="1:33" x14ac:dyDescent="0.3">
      <c r="A1641" t="s">
        <v>6591</v>
      </c>
      <c r="B1641" t="s">
        <v>55</v>
      </c>
      <c r="C1641" t="s">
        <v>6592</v>
      </c>
      <c r="D1641">
        <v>751609.95</v>
      </c>
      <c r="E1641" t="s">
        <v>6593</v>
      </c>
      <c r="F1641">
        <v>0</v>
      </c>
      <c r="G1641">
        <v>26.70999908447266</v>
      </c>
      <c r="H1641">
        <v>0</v>
      </c>
      <c r="I1641">
        <v>0</v>
      </c>
      <c r="J1641" t="s">
        <v>6594</v>
      </c>
      <c r="K1641">
        <v>67100</v>
      </c>
      <c r="L1641">
        <v>140000</v>
      </c>
      <c r="M1641">
        <v>108.64</v>
      </c>
      <c r="N1641">
        <v>17.25</v>
      </c>
      <c r="O1641">
        <v>31.9</v>
      </c>
      <c r="P1641">
        <v>3.89</v>
      </c>
      <c r="Q1641">
        <v>9.52</v>
      </c>
      <c r="R1641">
        <v>12.97</v>
      </c>
      <c r="S1641">
        <v>7.88</v>
      </c>
      <c r="T1641">
        <v>6.06</v>
      </c>
      <c r="U1641">
        <v>3.68</v>
      </c>
      <c r="V1641">
        <v>4.21</v>
      </c>
      <c r="W1641">
        <v>5.23</v>
      </c>
      <c r="X1641">
        <v>3.84</v>
      </c>
      <c r="Y1641">
        <v>3.66</v>
      </c>
      <c r="Z1641">
        <v>2.85</v>
      </c>
      <c r="AA1641">
        <v>8.67</v>
      </c>
      <c r="AB1641">
        <v>0.92</v>
      </c>
      <c r="AC1641">
        <v>1.82</v>
      </c>
      <c r="AD1641">
        <v>3.38</v>
      </c>
      <c r="AE1641">
        <v>2.15</v>
      </c>
      <c r="AF1641">
        <v>3.2983333333333329</v>
      </c>
      <c r="AG1641" t="str">
        <f>HYPERLINK("https://finance.naver.com/item/fchart.naver?code=141080", "리가켐바이오 차트보기")</f>
        <v>리가켐바이오 차트보기</v>
      </c>
    </row>
    <row r="1642" spans="1:33" x14ac:dyDescent="0.3">
      <c r="A1642" t="s">
        <v>6595</v>
      </c>
      <c r="B1642" t="s">
        <v>55</v>
      </c>
      <c r="C1642" t="s">
        <v>6596</v>
      </c>
      <c r="D1642">
        <v>293673.33</v>
      </c>
      <c r="E1642" t="s">
        <v>6597</v>
      </c>
      <c r="F1642">
        <v>16.850000000000001</v>
      </c>
      <c r="G1642">
        <v>1.190000057220459</v>
      </c>
      <c r="H1642">
        <v>308</v>
      </c>
      <c r="I1642">
        <v>2.8900001049041748</v>
      </c>
      <c r="J1642" t="s">
        <v>6598</v>
      </c>
      <c r="K1642">
        <v>9200</v>
      </c>
      <c r="L1642">
        <v>5190</v>
      </c>
      <c r="M1642">
        <v>-43.59</v>
      </c>
      <c r="N1642">
        <v>2.17</v>
      </c>
      <c r="O1642">
        <v>-31.28</v>
      </c>
      <c r="P1642">
        <v>6.01</v>
      </c>
      <c r="Q1642">
        <v>0.45</v>
      </c>
      <c r="R1642">
        <v>-11.13</v>
      </c>
      <c r="S1642">
        <v>-15.63</v>
      </c>
      <c r="T1642">
        <v>2.54</v>
      </c>
      <c r="U1642">
        <v>5.47</v>
      </c>
      <c r="V1642">
        <v>3.16</v>
      </c>
      <c r="W1642">
        <v>4.5999999999999996</v>
      </c>
      <c r="X1642">
        <v>1.98</v>
      </c>
      <c r="Y1642">
        <v>2.79</v>
      </c>
      <c r="Z1642">
        <v>0.85</v>
      </c>
      <c r="AA1642">
        <v>5.72</v>
      </c>
      <c r="AB1642">
        <v>1.9</v>
      </c>
      <c r="AC1642">
        <v>0.1</v>
      </c>
      <c r="AD1642">
        <v>5.62</v>
      </c>
      <c r="AE1642">
        <v>5.6</v>
      </c>
      <c r="AF1642">
        <v>3.2983333333333329</v>
      </c>
      <c r="AG1642" t="str">
        <f>HYPERLINK("https://finance.naver.com/item/fchart.naver?code=064480", "브리지텍 차트보기")</f>
        <v>브리지텍 차트보기</v>
      </c>
    </row>
    <row r="1643" spans="1:33" x14ac:dyDescent="0.3">
      <c r="A1643" t="s">
        <v>6599</v>
      </c>
      <c r="B1643" t="s">
        <v>34</v>
      </c>
      <c r="C1643" t="s">
        <v>6600</v>
      </c>
      <c r="D1643">
        <v>512059.48</v>
      </c>
      <c r="E1643" t="s">
        <v>6601</v>
      </c>
      <c r="F1643">
        <v>7.93</v>
      </c>
      <c r="G1643">
        <v>0.99000000953674316</v>
      </c>
      <c r="H1643">
        <v>549</v>
      </c>
      <c r="I1643">
        <v>0</v>
      </c>
      <c r="J1643" t="s">
        <v>6602</v>
      </c>
      <c r="K1643">
        <v>7360</v>
      </c>
      <c r="L1643">
        <v>4355</v>
      </c>
      <c r="M1643">
        <v>-40.83</v>
      </c>
      <c r="N1643">
        <v>-3.33</v>
      </c>
      <c r="O1643">
        <v>0.8</v>
      </c>
      <c r="P1643">
        <v>-1.74</v>
      </c>
      <c r="Q1643">
        <v>-7.95</v>
      </c>
      <c r="R1643">
        <v>-22.34</v>
      </c>
      <c r="S1643">
        <v>-8.66</v>
      </c>
      <c r="T1643">
        <v>2.3199999999999998</v>
      </c>
      <c r="U1643">
        <v>1.92</v>
      </c>
      <c r="V1643">
        <v>1.97</v>
      </c>
      <c r="W1643">
        <v>2.84</v>
      </c>
      <c r="X1643">
        <v>2.66</v>
      </c>
      <c r="Y1643">
        <v>1.48</v>
      </c>
      <c r="Z1643">
        <v>1.44</v>
      </c>
      <c r="AA1643">
        <v>0.42</v>
      </c>
      <c r="AB1643">
        <v>0.88</v>
      </c>
      <c r="AC1643">
        <v>2.8</v>
      </c>
      <c r="AD1643">
        <v>8.4</v>
      </c>
      <c r="AE1643">
        <v>5.85</v>
      </c>
      <c r="AF1643">
        <v>3.2983333333333329</v>
      </c>
      <c r="AG1643" t="str">
        <f>HYPERLINK("https://finance.naver.com/item/fchart.naver?code=073240", "금호타이어 차트보기")</f>
        <v>금호타이어 차트보기</v>
      </c>
    </row>
    <row r="1644" spans="1:33" x14ac:dyDescent="0.3">
      <c r="A1644" t="s">
        <v>6603</v>
      </c>
      <c r="B1644" t="s">
        <v>55</v>
      </c>
      <c r="C1644" t="s">
        <v>6604</v>
      </c>
      <c r="D1644">
        <v>75183.62</v>
      </c>
      <c r="E1644" t="s">
        <v>6605</v>
      </c>
      <c r="F1644">
        <v>13.89</v>
      </c>
      <c r="G1644">
        <v>2.220000028610229</v>
      </c>
      <c r="H1644">
        <v>189</v>
      </c>
      <c r="I1644">
        <v>0</v>
      </c>
      <c r="J1644" t="s">
        <v>6606</v>
      </c>
      <c r="K1644">
        <v>5480</v>
      </c>
      <c r="L1644">
        <v>2625</v>
      </c>
      <c r="M1644">
        <v>-52.1</v>
      </c>
      <c r="N1644">
        <v>-0.19</v>
      </c>
      <c r="O1644">
        <v>-8.81</v>
      </c>
      <c r="P1644">
        <v>-5.12</v>
      </c>
      <c r="Q1644">
        <v>-12.6</v>
      </c>
      <c r="R1644">
        <v>-10.83</v>
      </c>
      <c r="S1644">
        <v>-13.48</v>
      </c>
      <c r="T1644">
        <v>2.86</v>
      </c>
      <c r="U1644">
        <v>1.96</v>
      </c>
      <c r="V1644">
        <v>3.1</v>
      </c>
      <c r="W1644">
        <v>3.83</v>
      </c>
      <c r="X1644">
        <v>2.7</v>
      </c>
      <c r="Y1644">
        <v>2.14</v>
      </c>
      <c r="Z1644">
        <v>7.0000000000000007E-2</v>
      </c>
      <c r="AA1644">
        <v>4.49</v>
      </c>
      <c r="AB1644">
        <v>1.65</v>
      </c>
      <c r="AC1644">
        <v>3.29</v>
      </c>
      <c r="AD1644">
        <v>4.01</v>
      </c>
      <c r="AE1644">
        <v>6.3</v>
      </c>
      <c r="AF1644">
        <v>3.3016666666666659</v>
      </c>
      <c r="AG1644" t="str">
        <f>HYPERLINK("https://finance.naver.com/item/fchart.naver?code=139670", "키네마스터 차트보기")</f>
        <v>키네마스터 차트보기</v>
      </c>
    </row>
    <row r="1645" spans="1:33" x14ac:dyDescent="0.3">
      <c r="A1645" t="s">
        <v>6607</v>
      </c>
      <c r="B1645" t="s">
        <v>55</v>
      </c>
      <c r="C1645" t="s">
        <v>6608</v>
      </c>
      <c r="D1645">
        <v>70668.86</v>
      </c>
      <c r="E1645" t="s">
        <v>6609</v>
      </c>
      <c r="F1645">
        <v>6.57</v>
      </c>
      <c r="G1645">
        <v>0.89999997615814209</v>
      </c>
      <c r="H1645">
        <v>1837</v>
      </c>
      <c r="I1645">
        <v>3.4500000476837158</v>
      </c>
      <c r="J1645" t="s">
        <v>6610</v>
      </c>
      <c r="K1645">
        <v>17410</v>
      </c>
      <c r="L1645">
        <v>12070</v>
      </c>
      <c r="M1645">
        <v>-30.67</v>
      </c>
      <c r="N1645">
        <v>0.57999999999999996</v>
      </c>
      <c r="O1645">
        <v>3.43</v>
      </c>
      <c r="P1645">
        <v>-19.38</v>
      </c>
      <c r="Q1645">
        <v>52.35</v>
      </c>
      <c r="R1645">
        <v>-14.54</v>
      </c>
      <c r="S1645">
        <v>-9.0299999999999994</v>
      </c>
      <c r="T1645">
        <v>1.32</v>
      </c>
      <c r="U1645">
        <v>4.1900000000000004</v>
      </c>
      <c r="V1645">
        <v>4.03</v>
      </c>
      <c r="W1645">
        <v>10.14</v>
      </c>
      <c r="X1645">
        <v>2.72</v>
      </c>
      <c r="Y1645">
        <v>2.8</v>
      </c>
      <c r="Z1645">
        <v>0.44</v>
      </c>
      <c r="AA1645">
        <v>0.82</v>
      </c>
      <c r="AB1645">
        <v>4.8099999999999996</v>
      </c>
      <c r="AC1645">
        <v>5.16</v>
      </c>
      <c r="AD1645">
        <v>5.35</v>
      </c>
      <c r="AE1645">
        <v>3.23</v>
      </c>
      <c r="AF1645">
        <v>3.3016666666666659</v>
      </c>
      <c r="AG1645" t="str">
        <f>HYPERLINK("https://finance.naver.com/item/fchart.naver?code=452400", "이닉스 차트보기")</f>
        <v>이닉스 차트보기</v>
      </c>
    </row>
    <row r="1646" spans="1:33" x14ac:dyDescent="0.3">
      <c r="A1646" t="s">
        <v>6611</v>
      </c>
      <c r="B1646" t="s">
        <v>34</v>
      </c>
      <c r="C1646" t="s">
        <v>6612</v>
      </c>
      <c r="D1646">
        <v>98464.48</v>
      </c>
      <c r="E1646" t="s">
        <v>6613</v>
      </c>
      <c r="F1646">
        <v>3.72</v>
      </c>
      <c r="G1646">
        <v>0.73000001907348633</v>
      </c>
      <c r="H1646">
        <v>579</v>
      </c>
      <c r="I1646">
        <v>2.3199999332427979</v>
      </c>
      <c r="J1646" t="s">
        <v>6614</v>
      </c>
      <c r="K1646">
        <v>2040</v>
      </c>
      <c r="L1646">
        <v>2155</v>
      </c>
      <c r="M1646">
        <v>5.64</v>
      </c>
      <c r="N1646">
        <v>-2.0499999999999998</v>
      </c>
      <c r="O1646">
        <v>-4.5599999999999996</v>
      </c>
      <c r="P1646">
        <v>2.9</v>
      </c>
      <c r="Q1646">
        <v>-8.6300000000000008</v>
      </c>
      <c r="R1646">
        <v>5.04</v>
      </c>
      <c r="S1646">
        <v>22.38</v>
      </c>
      <c r="T1646">
        <v>1.21</v>
      </c>
      <c r="U1646">
        <v>1.24</v>
      </c>
      <c r="V1646">
        <v>2.36</v>
      </c>
      <c r="W1646">
        <v>1.69</v>
      </c>
      <c r="X1646">
        <v>2.2999999999999998</v>
      </c>
      <c r="Y1646">
        <v>3.79</v>
      </c>
      <c r="Z1646">
        <v>1.69</v>
      </c>
      <c r="AA1646">
        <v>3.68</v>
      </c>
      <c r="AB1646">
        <v>1.23</v>
      </c>
      <c r="AC1646">
        <v>5.1100000000000003</v>
      </c>
      <c r="AD1646">
        <v>2.19</v>
      </c>
      <c r="AE1646">
        <v>5.91</v>
      </c>
      <c r="AF1646">
        <v>3.3016666666666672</v>
      </c>
      <c r="AG1646" t="str">
        <f>HYPERLINK("https://finance.naver.com/item/fchart.naver?code=005390", "신성통상 차트보기")</f>
        <v>신성통상 차트보기</v>
      </c>
    </row>
    <row r="1647" spans="1:33" x14ac:dyDescent="0.3">
      <c r="A1647" t="s">
        <v>6615</v>
      </c>
      <c r="B1647" t="s">
        <v>55</v>
      </c>
      <c r="C1647" t="s">
        <v>6616</v>
      </c>
      <c r="D1647">
        <v>41192.33</v>
      </c>
      <c r="E1647" t="s">
        <v>6617</v>
      </c>
      <c r="F1647">
        <v>13.89</v>
      </c>
      <c r="G1647">
        <v>0.34000000357627869</v>
      </c>
      <c r="H1647">
        <v>566</v>
      </c>
      <c r="I1647">
        <v>2.5399999618530269</v>
      </c>
      <c r="J1647" t="s">
        <v>6618</v>
      </c>
      <c r="K1647">
        <v>7560</v>
      </c>
      <c r="L1647">
        <v>7860</v>
      </c>
      <c r="M1647">
        <v>3.97</v>
      </c>
      <c r="N1647">
        <v>-2.96</v>
      </c>
      <c r="O1647">
        <v>4.88</v>
      </c>
      <c r="P1647">
        <v>9.24</v>
      </c>
      <c r="Q1647">
        <v>-2.17</v>
      </c>
      <c r="R1647">
        <v>-0.14000000000000001</v>
      </c>
      <c r="S1647">
        <v>-3.77</v>
      </c>
      <c r="T1647">
        <v>1.83</v>
      </c>
      <c r="U1647">
        <v>0.74</v>
      </c>
      <c r="V1647">
        <v>1.84</v>
      </c>
      <c r="W1647">
        <v>2.99</v>
      </c>
      <c r="X1647">
        <v>1.01</v>
      </c>
      <c r="Y1647">
        <v>0.66</v>
      </c>
      <c r="Z1647">
        <v>1.62</v>
      </c>
      <c r="AA1647">
        <v>6.59</v>
      </c>
      <c r="AB1647">
        <v>5.0199999999999996</v>
      </c>
      <c r="AC1647">
        <v>0.73</v>
      </c>
      <c r="AD1647">
        <v>0.14000000000000001</v>
      </c>
      <c r="AE1647">
        <v>5.71</v>
      </c>
      <c r="AF1647">
        <v>3.3016666666666672</v>
      </c>
      <c r="AG1647" t="str">
        <f>HYPERLINK("https://finance.naver.com/item/fchart.naver?code=052330", "코텍 차트보기")</f>
        <v>코텍 차트보기</v>
      </c>
    </row>
    <row r="1648" spans="1:33" x14ac:dyDescent="0.3">
      <c r="A1648" t="s">
        <v>6619</v>
      </c>
      <c r="B1648" t="s">
        <v>55</v>
      </c>
      <c r="C1648" t="s">
        <v>6620</v>
      </c>
      <c r="D1648">
        <v>32637.62</v>
      </c>
      <c r="E1648" t="s">
        <v>6621</v>
      </c>
      <c r="F1648">
        <v>297.18</v>
      </c>
      <c r="G1648">
        <v>2.2899999618530269</v>
      </c>
      <c r="H1648">
        <v>71</v>
      </c>
      <c r="I1648">
        <v>0</v>
      </c>
      <c r="J1648" t="s">
        <v>6622</v>
      </c>
      <c r="K1648">
        <v>31150</v>
      </c>
      <c r="L1648">
        <v>21100</v>
      </c>
      <c r="M1648">
        <v>-32.26</v>
      </c>
      <c r="N1648">
        <v>-1.86</v>
      </c>
      <c r="O1648">
        <v>-3.74</v>
      </c>
      <c r="P1648">
        <v>-5.35</v>
      </c>
      <c r="Q1648">
        <v>-7.39</v>
      </c>
      <c r="R1648">
        <v>-11.17</v>
      </c>
      <c r="S1648">
        <v>-5.67</v>
      </c>
      <c r="T1648">
        <v>2.76</v>
      </c>
      <c r="U1648">
        <v>2.3199999999999998</v>
      </c>
      <c r="V1648">
        <v>2.2599999999999998</v>
      </c>
      <c r="W1648">
        <v>4.75</v>
      </c>
      <c r="X1648">
        <v>1.36</v>
      </c>
      <c r="Y1648">
        <v>1.05</v>
      </c>
      <c r="Z1648">
        <v>0.67</v>
      </c>
      <c r="AA1648">
        <v>1.61</v>
      </c>
      <c r="AB1648">
        <v>2.37</v>
      </c>
      <c r="AC1648">
        <v>1.56</v>
      </c>
      <c r="AD1648">
        <v>8.2100000000000009</v>
      </c>
      <c r="AE1648">
        <v>5.4</v>
      </c>
      <c r="AF1648">
        <v>3.3033333333333328</v>
      </c>
      <c r="AG1648" t="str">
        <f>HYPERLINK("https://finance.naver.com/item/fchart.naver?code=090360", "로보스타 차트보기")</f>
        <v>로보스타 차트보기</v>
      </c>
    </row>
    <row r="1649" spans="1:33" x14ac:dyDescent="0.3">
      <c r="A1649" t="s">
        <v>6623</v>
      </c>
      <c r="B1649" t="s">
        <v>34</v>
      </c>
      <c r="C1649" t="s">
        <v>6624</v>
      </c>
      <c r="D1649">
        <v>1409916.19</v>
      </c>
      <c r="E1649" t="s">
        <v>6625</v>
      </c>
      <c r="F1649">
        <v>4.2699999999999996</v>
      </c>
      <c r="G1649">
        <v>0.81000000238418579</v>
      </c>
      <c r="H1649">
        <v>22168</v>
      </c>
      <c r="I1649">
        <v>5.9200000762939453</v>
      </c>
      <c r="J1649" t="s">
        <v>6626</v>
      </c>
      <c r="K1649">
        <v>114700</v>
      </c>
      <c r="L1649">
        <v>94600</v>
      </c>
      <c r="M1649">
        <v>-17.52</v>
      </c>
      <c r="N1649">
        <v>0.32</v>
      </c>
      <c r="O1649">
        <v>-6.89</v>
      </c>
      <c r="P1649">
        <v>-5.84</v>
      </c>
      <c r="Q1649">
        <v>-5.35</v>
      </c>
      <c r="R1649">
        <v>-12.83</v>
      </c>
      <c r="S1649">
        <v>7.13</v>
      </c>
      <c r="T1649">
        <v>2.08</v>
      </c>
      <c r="U1649">
        <v>1.67</v>
      </c>
      <c r="V1649">
        <v>2.2999999999999998</v>
      </c>
      <c r="W1649">
        <v>3.18</v>
      </c>
      <c r="X1649">
        <v>1.83</v>
      </c>
      <c r="Y1649">
        <v>1.65</v>
      </c>
      <c r="Z1649">
        <v>0.15</v>
      </c>
      <c r="AA1649">
        <v>4.13</v>
      </c>
      <c r="AB1649">
        <v>2.54</v>
      </c>
      <c r="AC1649">
        <v>1.68</v>
      </c>
      <c r="AD1649">
        <v>7.01</v>
      </c>
      <c r="AE1649">
        <v>4.32</v>
      </c>
      <c r="AF1649">
        <v>3.3050000000000002</v>
      </c>
      <c r="AG1649" t="str">
        <f>HYPERLINK("https://finance.naver.com/item/fchart.naver?code=000270", "기아 차트보기")</f>
        <v>기아 차트보기</v>
      </c>
    </row>
    <row r="1650" spans="1:33" x14ac:dyDescent="0.3">
      <c r="A1650" t="s">
        <v>6627</v>
      </c>
      <c r="B1650" t="s">
        <v>34</v>
      </c>
      <c r="C1650" t="s">
        <v>6628</v>
      </c>
      <c r="D1650">
        <v>21443.19</v>
      </c>
      <c r="E1650" t="s">
        <v>6629</v>
      </c>
      <c r="F1650">
        <v>0</v>
      </c>
      <c r="G1650">
        <v>0</v>
      </c>
      <c r="H1650">
        <v>0</v>
      </c>
      <c r="I1650">
        <v>0</v>
      </c>
      <c r="J1650" t="s">
        <v>6630</v>
      </c>
      <c r="K1650">
        <v>6950</v>
      </c>
      <c r="L1650">
        <v>3620</v>
      </c>
      <c r="M1650">
        <v>-47.91</v>
      </c>
      <c r="N1650">
        <v>0</v>
      </c>
      <c r="O1650">
        <v>-7.45</v>
      </c>
      <c r="P1650">
        <v>-5.46</v>
      </c>
      <c r="Q1650">
        <v>-14.9</v>
      </c>
      <c r="R1650">
        <v>-21.85</v>
      </c>
      <c r="S1650">
        <v>17.989999999999998</v>
      </c>
      <c r="T1650">
        <v>1.74</v>
      </c>
      <c r="U1650">
        <v>1.77</v>
      </c>
      <c r="V1650">
        <v>2.4700000000000002</v>
      </c>
      <c r="W1650">
        <v>3.92</v>
      </c>
      <c r="X1650">
        <v>2.82</v>
      </c>
      <c r="Y1650">
        <v>9.69</v>
      </c>
      <c r="Z1650">
        <v>0</v>
      </c>
      <c r="AA1650">
        <v>4.21</v>
      </c>
      <c r="AB1650">
        <v>2.21</v>
      </c>
      <c r="AC1650">
        <v>3.8</v>
      </c>
      <c r="AD1650">
        <v>7.75</v>
      </c>
      <c r="AE1650">
        <v>1.86</v>
      </c>
      <c r="AF1650">
        <v>3.3050000000000002</v>
      </c>
      <c r="AG1650" t="str">
        <f>HYPERLINK("https://finance.naver.com/item/fchart.naver?code=006345", "대원전선우 차트보기")</f>
        <v>대원전선우 차트보기</v>
      </c>
    </row>
    <row r="1651" spans="1:33" x14ac:dyDescent="0.3">
      <c r="A1651" t="s">
        <v>6631</v>
      </c>
      <c r="B1651" t="s">
        <v>34</v>
      </c>
      <c r="C1651" t="s">
        <v>6632</v>
      </c>
      <c r="D1651">
        <v>1784263.62</v>
      </c>
      <c r="E1651" t="s">
        <v>6633</v>
      </c>
      <c r="F1651">
        <v>8.2100000000000009</v>
      </c>
      <c r="G1651">
        <v>0.93999999761581421</v>
      </c>
      <c r="H1651">
        <v>62</v>
      </c>
      <c r="I1651">
        <v>0</v>
      </c>
      <c r="J1651" t="s">
        <v>6634</v>
      </c>
      <c r="K1651">
        <v>394</v>
      </c>
      <c r="L1651">
        <v>509</v>
      </c>
      <c r="M1651">
        <v>29.19</v>
      </c>
      <c r="N1651">
        <v>25.06</v>
      </c>
      <c r="O1651">
        <v>2.0099999999999998</v>
      </c>
      <c r="P1651">
        <v>-7.49</v>
      </c>
      <c r="Q1651">
        <v>-23.58</v>
      </c>
      <c r="R1651">
        <v>1.75</v>
      </c>
      <c r="S1651">
        <v>23.47</v>
      </c>
      <c r="T1651">
        <v>4.59</v>
      </c>
      <c r="U1651">
        <v>2.13</v>
      </c>
      <c r="V1651">
        <v>3.23</v>
      </c>
      <c r="W1651">
        <v>3.12</v>
      </c>
      <c r="X1651">
        <v>3.38</v>
      </c>
      <c r="Y1651">
        <v>7.72</v>
      </c>
      <c r="Z1651">
        <v>5.46</v>
      </c>
      <c r="AA1651">
        <v>0.94</v>
      </c>
      <c r="AB1651">
        <v>2.3199999999999998</v>
      </c>
      <c r="AC1651">
        <v>7.56</v>
      </c>
      <c r="AD1651">
        <v>0.52</v>
      </c>
      <c r="AE1651">
        <v>3.04</v>
      </c>
      <c r="AF1651">
        <v>3.3066666666666671</v>
      </c>
      <c r="AG1651" t="str">
        <f>HYPERLINK("https://finance.naver.com/item/fchart.naver?code=015590", "KIB플러그에너지 차트보기")</f>
        <v>KIB플러그에너지 차트보기</v>
      </c>
    </row>
    <row r="1652" spans="1:33" x14ac:dyDescent="0.3">
      <c r="A1652" t="s">
        <v>6635</v>
      </c>
      <c r="B1652" t="s">
        <v>55</v>
      </c>
      <c r="C1652" t="s">
        <v>6636</v>
      </c>
      <c r="D1652">
        <v>1979607.81</v>
      </c>
      <c r="E1652" t="s">
        <v>6637</v>
      </c>
      <c r="F1652">
        <v>0</v>
      </c>
      <c r="G1652">
        <v>0.4699999988079071</v>
      </c>
      <c r="H1652">
        <v>0</v>
      </c>
      <c r="I1652">
        <v>0</v>
      </c>
      <c r="J1652" t="s">
        <v>6638</v>
      </c>
      <c r="K1652">
        <v>3905</v>
      </c>
      <c r="L1652">
        <v>3630</v>
      </c>
      <c r="M1652">
        <v>-7.04</v>
      </c>
      <c r="N1652">
        <v>13.08</v>
      </c>
      <c r="O1652">
        <v>11.58</v>
      </c>
      <c r="P1652">
        <v>-5.55</v>
      </c>
      <c r="Q1652">
        <v>-11.04</v>
      </c>
      <c r="R1652">
        <v>9.33</v>
      </c>
      <c r="S1652">
        <v>-10.039999999999999</v>
      </c>
      <c r="T1652">
        <v>5.79</v>
      </c>
      <c r="U1652">
        <v>4.08</v>
      </c>
      <c r="V1652">
        <v>2.6</v>
      </c>
      <c r="W1652">
        <v>4.91</v>
      </c>
      <c r="X1652">
        <v>7.58</v>
      </c>
      <c r="Y1652">
        <v>1.1000000000000001</v>
      </c>
      <c r="Z1652">
        <v>2.2599999999999998</v>
      </c>
      <c r="AA1652">
        <v>2.84</v>
      </c>
      <c r="AB1652">
        <v>2.13</v>
      </c>
      <c r="AC1652">
        <v>2.25</v>
      </c>
      <c r="AD1652">
        <v>1.23</v>
      </c>
      <c r="AE1652">
        <v>9.1300000000000008</v>
      </c>
      <c r="AF1652">
        <v>3.3066666666666671</v>
      </c>
      <c r="AG1652" t="str">
        <f>HYPERLINK("https://finance.naver.com/item/fchart.naver?code=039560", "다산네트웍스 차트보기")</f>
        <v>다산네트웍스 차트보기</v>
      </c>
    </row>
    <row r="1653" spans="1:33" x14ac:dyDescent="0.3">
      <c r="A1653" t="s">
        <v>6639</v>
      </c>
      <c r="B1653" t="s">
        <v>55</v>
      </c>
      <c r="C1653" t="s">
        <v>6640</v>
      </c>
      <c r="D1653">
        <v>28500.48</v>
      </c>
      <c r="E1653" t="s">
        <v>6641</v>
      </c>
      <c r="F1653">
        <v>0</v>
      </c>
      <c r="G1653">
        <v>0</v>
      </c>
      <c r="H1653">
        <v>0</v>
      </c>
      <c r="I1653">
        <v>0</v>
      </c>
      <c r="J1653" t="s">
        <v>6642</v>
      </c>
      <c r="K1653">
        <v>14240</v>
      </c>
      <c r="L1653">
        <v>6860</v>
      </c>
      <c r="M1653">
        <v>-51.83</v>
      </c>
      <c r="N1653">
        <v>8.1999999999999993</v>
      </c>
      <c r="O1653">
        <v>-9.18</v>
      </c>
      <c r="P1653">
        <v>-2.0299999999999998</v>
      </c>
      <c r="Q1653">
        <v>-16.12</v>
      </c>
      <c r="R1653">
        <v>-8.44</v>
      </c>
      <c r="S1653">
        <v>-29.74</v>
      </c>
      <c r="T1653">
        <v>4.3499999999999996</v>
      </c>
      <c r="U1653">
        <v>1.6</v>
      </c>
      <c r="V1653">
        <v>2.7</v>
      </c>
      <c r="W1653">
        <v>4.13</v>
      </c>
      <c r="X1653">
        <v>2.4700000000000002</v>
      </c>
      <c r="Y1653">
        <v>7.15</v>
      </c>
      <c r="Z1653">
        <v>1.89</v>
      </c>
      <c r="AA1653">
        <v>5.74</v>
      </c>
      <c r="AB1653">
        <v>0.75</v>
      </c>
      <c r="AC1653">
        <v>3.9</v>
      </c>
      <c r="AD1653">
        <v>3.42</v>
      </c>
      <c r="AE1653">
        <v>4.16</v>
      </c>
      <c r="AF1653">
        <v>3.31</v>
      </c>
      <c r="AG1653" t="str">
        <f>HYPERLINK("https://finance.naver.com/item/fchart.naver?code=323350", "다원넥스뷰 차트보기")</f>
        <v>다원넥스뷰 차트보기</v>
      </c>
    </row>
    <row r="1654" spans="1:33" x14ac:dyDescent="0.3">
      <c r="A1654" t="s">
        <v>6643</v>
      </c>
      <c r="B1654" t="s">
        <v>55</v>
      </c>
      <c r="C1654" t="s">
        <v>6644</v>
      </c>
      <c r="D1654">
        <v>118822.48</v>
      </c>
      <c r="E1654" t="s">
        <v>6645</v>
      </c>
      <c r="F1654">
        <v>17.100000000000001</v>
      </c>
      <c r="G1654">
        <v>2.0099999904632568</v>
      </c>
      <c r="H1654">
        <v>1234</v>
      </c>
      <c r="I1654">
        <v>0.70999997854232788</v>
      </c>
      <c r="J1654" t="s">
        <v>6646</v>
      </c>
      <c r="K1654">
        <v>43050</v>
      </c>
      <c r="L1654">
        <v>21100</v>
      </c>
      <c r="M1654">
        <v>-50.99</v>
      </c>
      <c r="N1654">
        <v>-8.66</v>
      </c>
      <c r="O1654">
        <v>-8.9499999999999993</v>
      </c>
      <c r="P1654">
        <v>-1.71</v>
      </c>
      <c r="Q1654">
        <v>-10.46</v>
      </c>
      <c r="R1654">
        <v>-17.54</v>
      </c>
      <c r="S1654">
        <v>-10.86</v>
      </c>
      <c r="T1654">
        <v>2.2999999999999998</v>
      </c>
      <c r="U1654">
        <v>2.62</v>
      </c>
      <c r="V1654">
        <v>3.01</v>
      </c>
      <c r="W1654">
        <v>4.08</v>
      </c>
      <c r="X1654">
        <v>3.49</v>
      </c>
      <c r="Y1654">
        <v>2.41</v>
      </c>
      <c r="Z1654">
        <v>3.77</v>
      </c>
      <c r="AA1654">
        <v>3.42</v>
      </c>
      <c r="AB1654">
        <v>0.56999999999999995</v>
      </c>
      <c r="AC1654">
        <v>2.56</v>
      </c>
      <c r="AD1654">
        <v>5.03</v>
      </c>
      <c r="AE1654">
        <v>4.51</v>
      </c>
      <c r="AF1654">
        <v>3.31</v>
      </c>
      <c r="AG1654" t="str">
        <f>HYPERLINK("https://finance.naver.com/item/fchart.naver?code=101490", "에스앤에스텍 차트보기")</f>
        <v>에스앤에스텍 차트보기</v>
      </c>
    </row>
    <row r="1655" spans="1:33" x14ac:dyDescent="0.3">
      <c r="A1655" t="s">
        <v>6647</v>
      </c>
      <c r="B1655" t="s">
        <v>34</v>
      </c>
      <c r="C1655" t="s">
        <v>6648</v>
      </c>
      <c r="D1655">
        <v>357984.62</v>
      </c>
      <c r="E1655" t="s">
        <v>6649</v>
      </c>
      <c r="F1655">
        <v>0</v>
      </c>
      <c r="G1655">
        <v>0.43000000715255737</v>
      </c>
      <c r="H1655">
        <v>0</v>
      </c>
      <c r="I1655">
        <v>4.3899998664855957</v>
      </c>
      <c r="J1655" t="s">
        <v>6650</v>
      </c>
      <c r="K1655">
        <v>5160</v>
      </c>
      <c r="L1655">
        <v>4560</v>
      </c>
      <c r="M1655">
        <v>-11.63</v>
      </c>
      <c r="N1655">
        <v>-13.64</v>
      </c>
      <c r="O1655">
        <v>8.23</v>
      </c>
      <c r="P1655">
        <v>-2.71</v>
      </c>
      <c r="Q1655">
        <v>7.13</v>
      </c>
      <c r="R1655">
        <v>-0.75</v>
      </c>
      <c r="S1655">
        <v>-5.77</v>
      </c>
      <c r="T1655">
        <v>3.08</v>
      </c>
      <c r="U1655">
        <v>1</v>
      </c>
      <c r="V1655">
        <v>3.78</v>
      </c>
      <c r="W1655">
        <v>2.9</v>
      </c>
      <c r="X1655">
        <v>1.84</v>
      </c>
      <c r="Y1655">
        <v>1.6</v>
      </c>
      <c r="Z1655">
        <v>4.43</v>
      </c>
      <c r="AA1655">
        <v>8.23</v>
      </c>
      <c r="AB1655">
        <v>0.72</v>
      </c>
      <c r="AC1655">
        <v>2.46</v>
      </c>
      <c r="AD1655">
        <v>0.41</v>
      </c>
      <c r="AE1655">
        <v>3.61</v>
      </c>
      <c r="AF1655">
        <v>3.31</v>
      </c>
      <c r="AG1655" t="str">
        <f>HYPERLINK("https://finance.naver.com/item/fchart.naver?code=001740", "SK네트웍스 차트보기")</f>
        <v>SK네트웍스 차트보기</v>
      </c>
    </row>
    <row r="1656" spans="1:33" x14ac:dyDescent="0.3">
      <c r="A1656" t="s">
        <v>6651</v>
      </c>
      <c r="B1656" t="s">
        <v>34</v>
      </c>
      <c r="C1656" t="s">
        <v>6652</v>
      </c>
      <c r="D1656">
        <v>217108.24</v>
      </c>
      <c r="E1656" t="s">
        <v>6653</v>
      </c>
      <c r="F1656">
        <v>9.69</v>
      </c>
      <c r="G1656">
        <v>1.4099999666213989</v>
      </c>
      <c r="H1656">
        <v>1849</v>
      </c>
      <c r="I1656">
        <v>6.190000057220459</v>
      </c>
      <c r="J1656" t="s">
        <v>6654</v>
      </c>
      <c r="K1656">
        <v>19300</v>
      </c>
      <c r="L1656">
        <v>17920</v>
      </c>
      <c r="M1656">
        <v>-7.15</v>
      </c>
      <c r="N1656">
        <v>-3.03</v>
      </c>
      <c r="O1656">
        <v>3.02</v>
      </c>
      <c r="P1656">
        <v>0.16</v>
      </c>
      <c r="Q1656">
        <v>2.02</v>
      </c>
      <c r="R1656">
        <v>-4.16</v>
      </c>
      <c r="S1656">
        <v>-2.13</v>
      </c>
      <c r="T1656">
        <v>0.51</v>
      </c>
      <c r="U1656">
        <v>0.93</v>
      </c>
      <c r="V1656">
        <v>1.32</v>
      </c>
      <c r="W1656">
        <v>1.75</v>
      </c>
      <c r="X1656">
        <v>0.63</v>
      </c>
      <c r="Y1656">
        <v>0.76</v>
      </c>
      <c r="Z1656">
        <v>5.94</v>
      </c>
      <c r="AA1656">
        <v>3.25</v>
      </c>
      <c r="AB1656">
        <v>0.12</v>
      </c>
      <c r="AC1656">
        <v>1.1499999999999999</v>
      </c>
      <c r="AD1656">
        <v>6.6</v>
      </c>
      <c r="AE1656">
        <v>2.8</v>
      </c>
      <c r="AF1656">
        <v>3.31</v>
      </c>
      <c r="AG1656" t="str">
        <f>HYPERLINK("https://finance.naver.com/item/fchart.naver?code=030000", "제일기획 차트보기")</f>
        <v>제일기획 차트보기</v>
      </c>
    </row>
    <row r="1657" spans="1:33" x14ac:dyDescent="0.3">
      <c r="A1657" t="s">
        <v>6655</v>
      </c>
      <c r="B1657" t="s">
        <v>55</v>
      </c>
      <c r="C1657" t="s">
        <v>6656</v>
      </c>
      <c r="D1657">
        <v>142024.57</v>
      </c>
      <c r="E1657" t="s">
        <v>6657</v>
      </c>
      <c r="F1657">
        <v>0</v>
      </c>
      <c r="G1657">
        <v>0.60000002384185791</v>
      </c>
      <c r="H1657">
        <v>0</v>
      </c>
      <c r="I1657">
        <v>0.33000001311302191</v>
      </c>
      <c r="J1657" t="s">
        <v>6658</v>
      </c>
      <c r="K1657">
        <v>28300</v>
      </c>
      <c r="L1657">
        <v>15120</v>
      </c>
      <c r="M1657">
        <v>-46.57</v>
      </c>
      <c r="N1657">
        <v>-3.01</v>
      </c>
      <c r="O1657">
        <v>-25.03</v>
      </c>
      <c r="P1657">
        <v>-13.18</v>
      </c>
      <c r="Q1657">
        <v>-0.92</v>
      </c>
      <c r="R1657">
        <v>-4.58</v>
      </c>
      <c r="S1657">
        <v>-4.6500000000000004</v>
      </c>
      <c r="T1657">
        <v>3.7</v>
      </c>
      <c r="U1657">
        <v>2.4</v>
      </c>
      <c r="V1657">
        <v>2.5</v>
      </c>
      <c r="W1657">
        <v>4.4000000000000004</v>
      </c>
      <c r="X1657">
        <v>2.57</v>
      </c>
      <c r="Y1657">
        <v>3.38</v>
      </c>
      <c r="Z1657">
        <v>0.81</v>
      </c>
      <c r="AA1657">
        <v>10.43</v>
      </c>
      <c r="AB1657">
        <v>5.27</v>
      </c>
      <c r="AC1657">
        <v>0.21</v>
      </c>
      <c r="AD1657">
        <v>1.78</v>
      </c>
      <c r="AE1657">
        <v>1.38</v>
      </c>
      <c r="AF1657">
        <v>3.313333333333333</v>
      </c>
      <c r="AG1657" t="str">
        <f>HYPERLINK("https://finance.naver.com/item/fchart.naver?code=102710", "이엔에프테크놀로지 차트보기")</f>
        <v>이엔에프테크놀로지 차트보기</v>
      </c>
    </row>
    <row r="1658" spans="1:33" x14ac:dyDescent="0.3">
      <c r="A1658" t="s">
        <v>6659</v>
      </c>
      <c r="B1658" t="s">
        <v>55</v>
      </c>
      <c r="C1658" t="s">
        <v>6660</v>
      </c>
      <c r="D1658">
        <v>2110408.38</v>
      </c>
      <c r="E1658" t="s">
        <v>6661</v>
      </c>
      <c r="F1658">
        <v>0</v>
      </c>
      <c r="G1658">
        <v>1.279999971389771</v>
      </c>
      <c r="H1658">
        <v>0</v>
      </c>
      <c r="I1658">
        <v>0</v>
      </c>
      <c r="J1658" t="s">
        <v>6662</v>
      </c>
      <c r="K1658">
        <v>340</v>
      </c>
      <c r="L1658">
        <v>240</v>
      </c>
      <c r="M1658">
        <v>-29.41</v>
      </c>
      <c r="N1658">
        <v>-10.78</v>
      </c>
      <c r="O1658">
        <v>6.27</v>
      </c>
      <c r="P1658">
        <v>-9.9</v>
      </c>
      <c r="Q1658">
        <v>-5</v>
      </c>
      <c r="R1658">
        <v>-14.52</v>
      </c>
      <c r="S1658">
        <v>7.14</v>
      </c>
      <c r="T1658">
        <v>2.61</v>
      </c>
      <c r="U1658">
        <v>4.3</v>
      </c>
      <c r="V1658">
        <v>1.71</v>
      </c>
      <c r="W1658">
        <v>2.35</v>
      </c>
      <c r="X1658">
        <v>2.89</v>
      </c>
      <c r="Y1658">
        <v>5.24</v>
      </c>
      <c r="Z1658">
        <v>4.13</v>
      </c>
      <c r="AA1658">
        <v>1.46</v>
      </c>
      <c r="AB1658">
        <v>5.79</v>
      </c>
      <c r="AC1658">
        <v>2.13</v>
      </c>
      <c r="AD1658">
        <v>5.0199999999999996</v>
      </c>
      <c r="AE1658">
        <v>1.36</v>
      </c>
      <c r="AF1658">
        <v>3.3149999999999999</v>
      </c>
      <c r="AG1658" t="str">
        <f>HYPERLINK("https://finance.naver.com/item/fchart.naver?code=208640", "썸에이지 차트보기")</f>
        <v>썸에이지 차트보기</v>
      </c>
    </row>
    <row r="1659" spans="1:33" x14ac:dyDescent="0.3">
      <c r="A1659" t="s">
        <v>6663</v>
      </c>
      <c r="B1659" t="s">
        <v>34</v>
      </c>
      <c r="C1659" t="s">
        <v>6664</v>
      </c>
      <c r="D1659">
        <v>43377.760000000002</v>
      </c>
      <c r="E1659" t="s">
        <v>6665</v>
      </c>
      <c r="F1659">
        <v>15</v>
      </c>
      <c r="G1659">
        <v>1.25</v>
      </c>
      <c r="H1659">
        <v>66</v>
      </c>
      <c r="I1659">
        <v>0</v>
      </c>
      <c r="J1659" t="s">
        <v>6666</v>
      </c>
      <c r="K1659">
        <v>1140</v>
      </c>
      <c r="L1659">
        <v>990</v>
      </c>
      <c r="M1659">
        <v>-13.16</v>
      </c>
      <c r="N1659">
        <v>-3.32</v>
      </c>
      <c r="O1659">
        <v>-1.87</v>
      </c>
      <c r="P1659">
        <v>0.7</v>
      </c>
      <c r="Q1659">
        <v>-6.94</v>
      </c>
      <c r="R1659">
        <v>-5.93</v>
      </c>
      <c r="S1659">
        <v>-4.79</v>
      </c>
      <c r="T1659">
        <v>2.1</v>
      </c>
      <c r="U1659">
        <v>0.63</v>
      </c>
      <c r="V1659">
        <v>0.83</v>
      </c>
      <c r="W1659">
        <v>4.3</v>
      </c>
      <c r="X1659">
        <v>0.85</v>
      </c>
      <c r="Y1659">
        <v>0.81</v>
      </c>
      <c r="Z1659">
        <v>1.58</v>
      </c>
      <c r="AA1659">
        <v>2.97</v>
      </c>
      <c r="AB1659">
        <v>0.84</v>
      </c>
      <c r="AC1659">
        <v>1.61</v>
      </c>
      <c r="AD1659">
        <v>6.98</v>
      </c>
      <c r="AE1659">
        <v>5.91</v>
      </c>
      <c r="AF1659">
        <v>3.3149999999999999</v>
      </c>
      <c r="AG1659" t="str">
        <f>HYPERLINK("https://finance.naver.com/item/fchart.naver?code=090080", "평화산업 차트보기")</f>
        <v>평화산업 차트보기</v>
      </c>
    </row>
    <row r="1660" spans="1:33" x14ac:dyDescent="0.3">
      <c r="A1660" t="s">
        <v>6667</v>
      </c>
      <c r="B1660" t="s">
        <v>34</v>
      </c>
      <c r="C1660" t="s">
        <v>6668</v>
      </c>
      <c r="D1660">
        <v>46035.519999999997</v>
      </c>
      <c r="E1660" t="s">
        <v>6669</v>
      </c>
      <c r="F1660">
        <v>6.28</v>
      </c>
      <c r="G1660">
        <v>0.33000001311302191</v>
      </c>
      <c r="H1660">
        <v>737</v>
      </c>
      <c r="I1660">
        <v>3.2400000095367432</v>
      </c>
      <c r="J1660" t="s">
        <v>6670</v>
      </c>
      <c r="K1660">
        <v>5730</v>
      </c>
      <c r="L1660">
        <v>4630</v>
      </c>
      <c r="M1660">
        <v>-19.2</v>
      </c>
      <c r="N1660">
        <v>0.87</v>
      </c>
      <c r="O1660">
        <v>-5.12</v>
      </c>
      <c r="P1660">
        <v>3.77</v>
      </c>
      <c r="Q1660">
        <v>-10.02</v>
      </c>
      <c r="R1660">
        <v>-1.33</v>
      </c>
      <c r="S1660">
        <v>-6.94</v>
      </c>
      <c r="T1660">
        <v>1.21</v>
      </c>
      <c r="U1660">
        <v>0.96</v>
      </c>
      <c r="V1660">
        <v>2.84</v>
      </c>
      <c r="W1660">
        <v>4.1900000000000004</v>
      </c>
      <c r="X1660">
        <v>1.19</v>
      </c>
      <c r="Y1660">
        <v>0.77</v>
      </c>
      <c r="Z1660">
        <v>0.72</v>
      </c>
      <c r="AA1660">
        <v>5.33</v>
      </c>
      <c r="AB1660">
        <v>1.33</v>
      </c>
      <c r="AC1660">
        <v>2.39</v>
      </c>
      <c r="AD1660">
        <v>1.1200000000000001</v>
      </c>
      <c r="AE1660">
        <v>9.01</v>
      </c>
      <c r="AF1660">
        <v>3.316666666666666</v>
      </c>
      <c r="AG1660" t="str">
        <f>HYPERLINK("https://finance.naver.com/item/fchart.naver?code=013570", "디와이 차트보기")</f>
        <v>디와이 차트보기</v>
      </c>
    </row>
    <row r="1661" spans="1:33" x14ac:dyDescent="0.3">
      <c r="A1661" t="s">
        <v>6671</v>
      </c>
      <c r="B1661" t="s">
        <v>55</v>
      </c>
      <c r="C1661" t="s">
        <v>6672</v>
      </c>
      <c r="D1661">
        <v>64188.76</v>
      </c>
      <c r="E1661" t="s">
        <v>6673</v>
      </c>
      <c r="F1661">
        <v>5.05</v>
      </c>
      <c r="G1661">
        <v>1.3500000238418579</v>
      </c>
      <c r="H1661">
        <v>1646</v>
      </c>
      <c r="I1661">
        <v>1.200000047683716</v>
      </c>
      <c r="J1661" t="s">
        <v>6674</v>
      </c>
      <c r="K1661">
        <v>10560</v>
      </c>
      <c r="L1661">
        <v>8320</v>
      </c>
      <c r="M1661">
        <v>-21.21</v>
      </c>
      <c r="N1661">
        <v>-9.3699999999999992</v>
      </c>
      <c r="O1661">
        <v>-11.84</v>
      </c>
      <c r="P1661">
        <v>-6.34</v>
      </c>
      <c r="Q1661">
        <v>-6.94</v>
      </c>
      <c r="R1661">
        <v>8.52</v>
      </c>
      <c r="S1661">
        <v>7.67</v>
      </c>
      <c r="T1661">
        <v>2.36</v>
      </c>
      <c r="U1661">
        <v>1.81</v>
      </c>
      <c r="V1661">
        <v>1.83</v>
      </c>
      <c r="W1661">
        <v>4.76</v>
      </c>
      <c r="X1661">
        <v>3.52</v>
      </c>
      <c r="Y1661">
        <v>3.73</v>
      </c>
      <c r="Z1661">
        <v>3.97</v>
      </c>
      <c r="AA1661">
        <v>6.54</v>
      </c>
      <c r="AB1661">
        <v>3.46</v>
      </c>
      <c r="AC1661">
        <v>1.46</v>
      </c>
      <c r="AD1661">
        <v>2.42</v>
      </c>
      <c r="AE1661">
        <v>2.06</v>
      </c>
      <c r="AF1661">
        <v>3.3183333333333329</v>
      </c>
      <c r="AG1661" t="str">
        <f>HYPERLINK("https://finance.naver.com/item/fchart.naver?code=259630", "엠플러스 차트보기")</f>
        <v>엠플러스 차트보기</v>
      </c>
    </row>
    <row r="1662" spans="1:33" x14ac:dyDescent="0.3">
      <c r="A1662" t="s">
        <v>6675</v>
      </c>
      <c r="B1662" t="s">
        <v>55</v>
      </c>
      <c r="C1662" t="s">
        <v>6676</v>
      </c>
      <c r="D1662">
        <v>271205.90000000002</v>
      </c>
      <c r="E1662" t="s">
        <v>6677</v>
      </c>
      <c r="F1662">
        <v>26.41</v>
      </c>
      <c r="G1662">
        <v>1.190000057220459</v>
      </c>
      <c r="H1662">
        <v>231</v>
      </c>
      <c r="I1662">
        <v>0.56999999284744263</v>
      </c>
      <c r="J1662" t="s">
        <v>6678</v>
      </c>
      <c r="K1662">
        <v>4155</v>
      </c>
      <c r="L1662">
        <v>6100</v>
      </c>
      <c r="M1662">
        <v>46.81</v>
      </c>
      <c r="N1662">
        <v>-3.48</v>
      </c>
      <c r="O1662">
        <v>21.69</v>
      </c>
      <c r="P1662">
        <v>28.05</v>
      </c>
      <c r="Q1662">
        <v>-0.79</v>
      </c>
      <c r="R1662">
        <v>-8.52</v>
      </c>
      <c r="S1662">
        <v>-7.68</v>
      </c>
      <c r="T1662">
        <v>4.49</v>
      </c>
      <c r="U1662">
        <v>3.82</v>
      </c>
      <c r="V1662">
        <v>3.62</v>
      </c>
      <c r="W1662">
        <v>4.33</v>
      </c>
      <c r="X1662">
        <v>3.09</v>
      </c>
      <c r="Y1662">
        <v>2.77</v>
      </c>
      <c r="Z1662">
        <v>0.78</v>
      </c>
      <c r="AA1662">
        <v>5.68</v>
      </c>
      <c r="AB1662">
        <v>7.75</v>
      </c>
      <c r="AC1662">
        <v>0.18</v>
      </c>
      <c r="AD1662">
        <v>2.76</v>
      </c>
      <c r="AE1662">
        <v>2.77</v>
      </c>
      <c r="AF1662">
        <v>3.32</v>
      </c>
      <c r="AG1662" t="str">
        <f>HYPERLINK("https://finance.naver.com/item/fchart.naver?code=024940", "PN풍년 차트보기")</f>
        <v>PN풍년 차트보기</v>
      </c>
    </row>
    <row r="1663" spans="1:33" x14ac:dyDescent="0.3">
      <c r="A1663" t="s">
        <v>6679</v>
      </c>
      <c r="B1663" t="s">
        <v>55</v>
      </c>
      <c r="C1663" t="s">
        <v>6680</v>
      </c>
      <c r="D1663">
        <v>716982.48</v>
      </c>
      <c r="E1663" t="s">
        <v>6681</v>
      </c>
      <c r="F1663">
        <v>12.57</v>
      </c>
      <c r="G1663">
        <v>0.89999997615814209</v>
      </c>
      <c r="H1663">
        <v>467</v>
      </c>
      <c r="I1663">
        <v>0</v>
      </c>
      <c r="J1663" t="s">
        <v>6682</v>
      </c>
      <c r="K1663">
        <v>5720</v>
      </c>
      <c r="L1663">
        <v>5870</v>
      </c>
      <c r="M1663">
        <v>2.62</v>
      </c>
      <c r="N1663">
        <v>25.97</v>
      </c>
      <c r="O1663">
        <v>-10.52</v>
      </c>
      <c r="P1663">
        <v>2.74</v>
      </c>
      <c r="Q1663">
        <v>-7.9</v>
      </c>
      <c r="R1663">
        <v>-9.83</v>
      </c>
      <c r="S1663">
        <v>3.3</v>
      </c>
      <c r="T1663">
        <v>9.84</v>
      </c>
      <c r="U1663">
        <v>1.7</v>
      </c>
      <c r="V1663">
        <v>2.17</v>
      </c>
      <c r="W1663">
        <v>4.6900000000000004</v>
      </c>
      <c r="X1663">
        <v>1.54</v>
      </c>
      <c r="Y1663">
        <v>1.86</v>
      </c>
      <c r="Z1663">
        <v>2.64</v>
      </c>
      <c r="AA1663">
        <v>6.19</v>
      </c>
      <c r="AB1663">
        <v>1.26</v>
      </c>
      <c r="AC1663">
        <v>1.68</v>
      </c>
      <c r="AD1663">
        <v>6.38</v>
      </c>
      <c r="AE1663">
        <v>1.77</v>
      </c>
      <c r="AF1663">
        <v>3.32</v>
      </c>
      <c r="AG1663" t="str">
        <f>HYPERLINK("https://finance.naver.com/item/fchart.naver?code=100790", "미래에셋벤처투자 차트보기")</f>
        <v>미래에셋벤처투자 차트보기</v>
      </c>
    </row>
    <row r="1664" spans="1:33" x14ac:dyDescent="0.3">
      <c r="A1664" t="s">
        <v>6683</v>
      </c>
      <c r="B1664" t="s">
        <v>34</v>
      </c>
      <c r="C1664" t="s">
        <v>6684</v>
      </c>
      <c r="D1664">
        <v>954.38</v>
      </c>
      <c r="E1664" t="s">
        <v>6685</v>
      </c>
      <c r="F1664">
        <v>0</v>
      </c>
      <c r="G1664">
        <v>0</v>
      </c>
      <c r="H1664">
        <v>0</v>
      </c>
      <c r="I1664">
        <v>2.6700000762939449</v>
      </c>
      <c r="J1664" t="s">
        <v>6686</v>
      </c>
      <c r="K1664">
        <v>15000</v>
      </c>
      <c r="L1664">
        <v>12380</v>
      </c>
      <c r="M1664">
        <v>-17.47</v>
      </c>
      <c r="N1664">
        <v>-4.33</v>
      </c>
      <c r="O1664">
        <v>-6.7</v>
      </c>
      <c r="P1664">
        <v>-4.91</v>
      </c>
      <c r="Q1664">
        <v>-5.15</v>
      </c>
      <c r="R1664">
        <v>3.04</v>
      </c>
      <c r="S1664">
        <v>-5.4</v>
      </c>
      <c r="T1664">
        <v>1.72</v>
      </c>
      <c r="U1664">
        <v>2.37</v>
      </c>
      <c r="V1664">
        <v>1.38</v>
      </c>
      <c r="W1664">
        <v>2.71</v>
      </c>
      <c r="X1664">
        <v>1.52</v>
      </c>
      <c r="Y1664">
        <v>0.76</v>
      </c>
      <c r="Z1664">
        <v>2.52</v>
      </c>
      <c r="AA1664">
        <v>2.83</v>
      </c>
      <c r="AB1664">
        <v>3.56</v>
      </c>
      <c r="AC1664">
        <v>1.9</v>
      </c>
      <c r="AD1664">
        <v>2</v>
      </c>
      <c r="AE1664">
        <v>7.11</v>
      </c>
      <c r="AF1664">
        <v>3.32</v>
      </c>
      <c r="AG1664" t="str">
        <f>HYPERLINK("https://finance.naver.com/item/fchart.naver?code=090355", "노루페인트우 차트보기")</f>
        <v>노루페인트우 차트보기</v>
      </c>
    </row>
    <row r="1665" spans="1:33" x14ac:dyDescent="0.3">
      <c r="A1665" t="s">
        <v>6687</v>
      </c>
      <c r="B1665" t="s">
        <v>55</v>
      </c>
      <c r="C1665" t="s">
        <v>6688</v>
      </c>
      <c r="D1665">
        <v>4205.67</v>
      </c>
      <c r="E1665" t="s">
        <v>6689</v>
      </c>
      <c r="F1665">
        <v>5.9</v>
      </c>
      <c r="G1665">
        <v>0.40000000596046448</v>
      </c>
      <c r="H1665">
        <v>3341</v>
      </c>
      <c r="I1665">
        <v>4.570000171661377</v>
      </c>
      <c r="J1665" t="s">
        <v>6690</v>
      </c>
      <c r="K1665">
        <v>21350</v>
      </c>
      <c r="L1665">
        <v>19700</v>
      </c>
      <c r="M1665">
        <v>-7.73</v>
      </c>
      <c r="N1665">
        <v>-1.1499999999999999</v>
      </c>
      <c r="O1665">
        <v>-4.51</v>
      </c>
      <c r="P1665">
        <v>-0.48</v>
      </c>
      <c r="Q1665">
        <v>3.21</v>
      </c>
      <c r="R1665">
        <v>-4.51</v>
      </c>
      <c r="S1665">
        <v>-1.65</v>
      </c>
      <c r="T1665">
        <v>0.62</v>
      </c>
      <c r="U1665">
        <v>0.7</v>
      </c>
      <c r="V1665">
        <v>1.17</v>
      </c>
      <c r="W1665">
        <v>2.23</v>
      </c>
      <c r="X1665">
        <v>0.6</v>
      </c>
      <c r="Y1665">
        <v>0.73</v>
      </c>
      <c r="Z1665">
        <v>1.85</v>
      </c>
      <c r="AA1665">
        <v>6.44</v>
      </c>
      <c r="AB1665">
        <v>0.41</v>
      </c>
      <c r="AC1665">
        <v>1.44</v>
      </c>
      <c r="AD1665">
        <v>7.52</v>
      </c>
      <c r="AE1665">
        <v>2.2599999999999998</v>
      </c>
      <c r="AF1665">
        <v>3.32</v>
      </c>
      <c r="AG1665" t="str">
        <f>HYPERLINK("https://finance.naver.com/item/fchart.naver?code=115310", "인포바인 차트보기")</f>
        <v>인포바인 차트보기</v>
      </c>
    </row>
    <row r="1666" spans="1:33" x14ac:dyDescent="0.3">
      <c r="A1666" t="s">
        <v>6691</v>
      </c>
      <c r="B1666" t="s">
        <v>55</v>
      </c>
      <c r="C1666" t="s">
        <v>6692</v>
      </c>
      <c r="D1666">
        <v>15183.33</v>
      </c>
      <c r="E1666" t="s">
        <v>6693</v>
      </c>
      <c r="F1666">
        <v>8.51</v>
      </c>
      <c r="G1666">
        <v>2.910000085830688</v>
      </c>
      <c r="H1666">
        <v>1805</v>
      </c>
      <c r="I1666">
        <v>13.02000045776367</v>
      </c>
      <c r="J1666" t="s">
        <v>6694</v>
      </c>
      <c r="K1666">
        <v>18360</v>
      </c>
      <c r="L1666">
        <v>15360</v>
      </c>
      <c r="M1666">
        <v>-16.34</v>
      </c>
      <c r="N1666">
        <v>-2.97</v>
      </c>
      <c r="O1666">
        <v>-0.5</v>
      </c>
      <c r="P1666">
        <v>2.82</v>
      </c>
      <c r="Q1666">
        <v>-6.49</v>
      </c>
      <c r="R1666">
        <v>-2.94</v>
      </c>
      <c r="S1666">
        <v>-3.44</v>
      </c>
      <c r="T1666">
        <v>0.72</v>
      </c>
      <c r="U1666">
        <v>0.46</v>
      </c>
      <c r="V1666">
        <v>1.25</v>
      </c>
      <c r="W1666">
        <v>1.27</v>
      </c>
      <c r="X1666">
        <v>0.67</v>
      </c>
      <c r="Y1666">
        <v>1.1499999999999999</v>
      </c>
      <c r="Z1666">
        <v>4.12</v>
      </c>
      <c r="AA1666">
        <v>1.0900000000000001</v>
      </c>
      <c r="AB1666">
        <v>2.2599999999999998</v>
      </c>
      <c r="AC1666">
        <v>5.1100000000000003</v>
      </c>
      <c r="AD1666">
        <v>4.3899999999999997</v>
      </c>
      <c r="AE1666">
        <v>2.99</v>
      </c>
      <c r="AF1666">
        <v>3.3266666666666671</v>
      </c>
      <c r="AG1666" t="str">
        <f>HYPERLINK("https://finance.naver.com/item/fchart.naver?code=096240", "크레버스 차트보기")</f>
        <v>크레버스 차트보기</v>
      </c>
    </row>
    <row r="1667" spans="1:33" x14ac:dyDescent="0.3">
      <c r="A1667" t="s">
        <v>6695</v>
      </c>
      <c r="B1667" t="s">
        <v>55</v>
      </c>
      <c r="C1667" t="s">
        <v>6696</v>
      </c>
      <c r="D1667">
        <v>44323.86</v>
      </c>
      <c r="E1667" t="s">
        <v>6697</v>
      </c>
      <c r="F1667">
        <v>3.12</v>
      </c>
      <c r="G1667">
        <v>0.50999999046325684</v>
      </c>
      <c r="H1667">
        <v>2909</v>
      </c>
      <c r="I1667">
        <v>4.630000114440918</v>
      </c>
      <c r="J1667" t="s">
        <v>6698</v>
      </c>
      <c r="K1667">
        <v>11800</v>
      </c>
      <c r="L1667">
        <v>9070</v>
      </c>
      <c r="M1667">
        <v>-23.14</v>
      </c>
      <c r="N1667">
        <v>-0.77</v>
      </c>
      <c r="O1667">
        <v>-3.58</v>
      </c>
      <c r="P1667">
        <v>-1.93</v>
      </c>
      <c r="Q1667">
        <v>-9.18</v>
      </c>
      <c r="R1667">
        <v>-6.85</v>
      </c>
      <c r="S1667">
        <v>-2.23</v>
      </c>
      <c r="T1667">
        <v>1.1399999999999999</v>
      </c>
      <c r="U1667">
        <v>0.83</v>
      </c>
      <c r="V1667">
        <v>0.97</v>
      </c>
      <c r="W1667">
        <v>2.5</v>
      </c>
      <c r="X1667">
        <v>0.95</v>
      </c>
      <c r="Y1667">
        <v>1.06</v>
      </c>
      <c r="Z1667">
        <v>0.68</v>
      </c>
      <c r="AA1667">
        <v>4.3099999999999996</v>
      </c>
      <c r="AB1667">
        <v>1.99</v>
      </c>
      <c r="AC1667">
        <v>3.67</v>
      </c>
      <c r="AD1667">
        <v>7.21</v>
      </c>
      <c r="AE1667">
        <v>2.1</v>
      </c>
      <c r="AF1667">
        <v>3.3266666666666671</v>
      </c>
      <c r="AG1667" t="str">
        <f>HYPERLINK("https://finance.naver.com/item/fchart.naver?code=035600", "KG이니시스 차트보기")</f>
        <v>KG이니시스 차트보기</v>
      </c>
    </row>
    <row r="1668" spans="1:33" x14ac:dyDescent="0.3">
      <c r="A1668" t="s">
        <v>6699</v>
      </c>
      <c r="B1668" t="s">
        <v>34</v>
      </c>
      <c r="C1668" t="s">
        <v>6700</v>
      </c>
      <c r="D1668">
        <v>98728.62</v>
      </c>
      <c r="E1668" t="s">
        <v>6701</v>
      </c>
      <c r="F1668">
        <v>124.59</v>
      </c>
      <c r="G1668">
        <v>0.30000001192092901</v>
      </c>
      <c r="H1668">
        <v>74</v>
      </c>
      <c r="I1668">
        <v>5.4200000762939453</v>
      </c>
      <c r="J1668" t="s">
        <v>6702</v>
      </c>
      <c r="K1668">
        <v>11070</v>
      </c>
      <c r="L1668">
        <v>9220</v>
      </c>
      <c r="M1668">
        <v>-16.71</v>
      </c>
      <c r="N1668">
        <v>0.55000000000000004</v>
      </c>
      <c r="O1668">
        <v>0.64</v>
      </c>
      <c r="P1668">
        <v>-3.67</v>
      </c>
      <c r="Q1668">
        <v>-4.76</v>
      </c>
      <c r="R1668">
        <v>-7.56</v>
      </c>
      <c r="S1668">
        <v>1.54</v>
      </c>
      <c r="T1668">
        <v>0.95</v>
      </c>
      <c r="U1668">
        <v>1.52</v>
      </c>
      <c r="V1668">
        <v>0.62</v>
      </c>
      <c r="W1668">
        <v>1.36</v>
      </c>
      <c r="X1668">
        <v>0.91</v>
      </c>
      <c r="Y1668">
        <v>1.24</v>
      </c>
      <c r="Z1668">
        <v>0.57999999999999996</v>
      </c>
      <c r="AA1668">
        <v>0.42</v>
      </c>
      <c r="AB1668">
        <v>5.92</v>
      </c>
      <c r="AC1668">
        <v>3.5</v>
      </c>
      <c r="AD1668">
        <v>8.31</v>
      </c>
      <c r="AE1668">
        <v>1.24</v>
      </c>
      <c r="AF1668">
        <v>3.3283333333333331</v>
      </c>
      <c r="AG1668" t="str">
        <f>HYPERLINK("https://finance.naver.com/item/fchart.naver?code=213500", "한솔제지 차트보기")</f>
        <v>한솔제지 차트보기</v>
      </c>
    </row>
    <row r="1669" spans="1:33" x14ac:dyDescent="0.3">
      <c r="A1669" t="s">
        <v>6703</v>
      </c>
      <c r="B1669" t="s">
        <v>55</v>
      </c>
      <c r="C1669" t="s">
        <v>6704</v>
      </c>
      <c r="D1669">
        <v>17859379.809999999</v>
      </c>
      <c r="E1669" t="s">
        <v>6705</v>
      </c>
      <c r="F1669">
        <v>0</v>
      </c>
      <c r="G1669">
        <v>0.87000000476837158</v>
      </c>
      <c r="H1669">
        <v>0</v>
      </c>
      <c r="I1669">
        <v>0</v>
      </c>
      <c r="J1669" t="s">
        <v>6706</v>
      </c>
      <c r="K1669">
        <v>552</v>
      </c>
      <c r="L1669">
        <v>995</v>
      </c>
      <c r="M1669">
        <v>80.25</v>
      </c>
      <c r="N1669">
        <v>-13.1</v>
      </c>
      <c r="O1669">
        <v>76.33</v>
      </c>
      <c r="P1669">
        <v>8.91</v>
      </c>
      <c r="Q1669">
        <v>13.9</v>
      </c>
      <c r="R1669">
        <v>3.58</v>
      </c>
      <c r="S1669">
        <v>-3.62</v>
      </c>
      <c r="T1669">
        <v>3.76</v>
      </c>
      <c r="U1669">
        <v>10.130000000000001</v>
      </c>
      <c r="V1669">
        <v>4.1100000000000003</v>
      </c>
      <c r="W1669">
        <v>7.4</v>
      </c>
      <c r="X1669">
        <v>1.63</v>
      </c>
      <c r="Y1669">
        <v>1.34</v>
      </c>
      <c r="Z1669">
        <v>3.48</v>
      </c>
      <c r="AA1669">
        <v>7.54</v>
      </c>
      <c r="AB1669">
        <v>2.17</v>
      </c>
      <c r="AC1669">
        <v>1.88</v>
      </c>
      <c r="AD1669">
        <v>2.2000000000000002</v>
      </c>
      <c r="AE1669">
        <v>2.7</v>
      </c>
      <c r="AF1669">
        <v>3.3283333333333331</v>
      </c>
      <c r="AG1669" t="str">
        <f>HYPERLINK("https://finance.naver.com/item/fchart.naver?code=007720", "대명소노시즌 차트보기")</f>
        <v>대명소노시즌 차트보기</v>
      </c>
    </row>
    <row r="1670" spans="1:33" x14ac:dyDescent="0.3">
      <c r="A1670" t="s">
        <v>6707</v>
      </c>
      <c r="B1670" t="s">
        <v>55</v>
      </c>
      <c r="C1670" t="s">
        <v>6708</v>
      </c>
      <c r="D1670">
        <v>1051353.3799999999</v>
      </c>
      <c r="E1670" t="s">
        <v>6709</v>
      </c>
      <c r="F1670">
        <v>5.35</v>
      </c>
      <c r="G1670">
        <v>0.51999998092651367</v>
      </c>
      <c r="H1670">
        <v>105</v>
      </c>
      <c r="I1670">
        <v>0</v>
      </c>
      <c r="J1670" t="s">
        <v>6710</v>
      </c>
      <c r="K1670">
        <v>682</v>
      </c>
      <c r="L1670">
        <v>562</v>
      </c>
      <c r="M1670">
        <v>-17.600000000000001</v>
      </c>
      <c r="N1670">
        <v>28.02</v>
      </c>
      <c r="O1670">
        <v>-10.27</v>
      </c>
      <c r="P1670">
        <v>-6.13</v>
      </c>
      <c r="Q1670">
        <v>-9.08</v>
      </c>
      <c r="R1670">
        <v>6.06</v>
      </c>
      <c r="S1670">
        <v>-9.5500000000000007</v>
      </c>
      <c r="T1670">
        <v>11.54</v>
      </c>
      <c r="U1670">
        <v>2.67</v>
      </c>
      <c r="V1670">
        <v>1.52</v>
      </c>
      <c r="W1670">
        <v>2.99</v>
      </c>
      <c r="X1670">
        <v>2.29</v>
      </c>
      <c r="Y1670">
        <v>2.4</v>
      </c>
      <c r="Z1670">
        <v>2.4300000000000002</v>
      </c>
      <c r="AA1670">
        <v>3.85</v>
      </c>
      <c r="AB1670">
        <v>4.03</v>
      </c>
      <c r="AC1670">
        <v>3.04</v>
      </c>
      <c r="AD1670">
        <v>2.65</v>
      </c>
      <c r="AE1670">
        <v>3.98</v>
      </c>
      <c r="AF1670">
        <v>3.33</v>
      </c>
      <c r="AG1670" t="str">
        <f>HYPERLINK("https://finance.naver.com/item/fchart.naver?code=227950", "엔투텍 차트보기")</f>
        <v>엔투텍 차트보기</v>
      </c>
    </row>
    <row r="1671" spans="1:33" x14ac:dyDescent="0.3">
      <c r="A1671" t="s">
        <v>6711</v>
      </c>
      <c r="B1671" t="s">
        <v>55</v>
      </c>
      <c r="C1671" t="s">
        <v>6712</v>
      </c>
      <c r="D1671">
        <v>499405.43</v>
      </c>
      <c r="E1671" t="s">
        <v>6713</v>
      </c>
      <c r="F1671">
        <v>0</v>
      </c>
      <c r="G1671">
        <v>1.059999942779541</v>
      </c>
      <c r="H1671">
        <v>0</v>
      </c>
      <c r="I1671">
        <v>0</v>
      </c>
      <c r="J1671" t="s">
        <v>6714</v>
      </c>
      <c r="K1671">
        <v>3310</v>
      </c>
      <c r="L1671">
        <v>1815</v>
      </c>
      <c r="M1671">
        <v>-45.17</v>
      </c>
      <c r="N1671">
        <v>0.11</v>
      </c>
      <c r="O1671">
        <v>-14.53</v>
      </c>
      <c r="P1671">
        <v>0.9</v>
      </c>
      <c r="Q1671">
        <v>-10.46</v>
      </c>
      <c r="R1671">
        <v>-16.3</v>
      </c>
      <c r="S1671">
        <v>-13.08</v>
      </c>
      <c r="T1671">
        <v>2.0699999999999998</v>
      </c>
      <c r="U1671">
        <v>3.55</v>
      </c>
      <c r="V1671">
        <v>2.96</v>
      </c>
      <c r="W1671">
        <v>3.33</v>
      </c>
      <c r="X1671">
        <v>2.56</v>
      </c>
      <c r="Y1671">
        <v>2.17</v>
      </c>
      <c r="Z1671">
        <v>0.05</v>
      </c>
      <c r="AA1671">
        <v>4.09</v>
      </c>
      <c r="AB1671">
        <v>0.3</v>
      </c>
      <c r="AC1671">
        <v>3.14</v>
      </c>
      <c r="AD1671">
        <v>6.37</v>
      </c>
      <c r="AE1671">
        <v>6.03</v>
      </c>
      <c r="AF1671">
        <v>3.33</v>
      </c>
      <c r="AG1671" t="str">
        <f>HYPERLINK("https://finance.naver.com/item/fchart.naver?code=134580", "탑코미디어 차트보기")</f>
        <v>탑코미디어 차트보기</v>
      </c>
    </row>
    <row r="1672" spans="1:33" x14ac:dyDescent="0.3">
      <c r="A1672" t="s">
        <v>6715</v>
      </c>
      <c r="B1672" t="s">
        <v>55</v>
      </c>
      <c r="C1672" t="s">
        <v>6716</v>
      </c>
      <c r="D1672">
        <v>80846.33</v>
      </c>
      <c r="E1672" t="s">
        <v>6717</v>
      </c>
      <c r="F1672">
        <v>11.37</v>
      </c>
      <c r="G1672">
        <v>0.43000000715255737</v>
      </c>
      <c r="H1672">
        <v>81</v>
      </c>
      <c r="I1672">
        <v>0</v>
      </c>
      <c r="J1672" t="s">
        <v>6718</v>
      </c>
      <c r="K1672">
        <v>1409</v>
      </c>
      <c r="L1672">
        <v>921</v>
      </c>
      <c r="M1672">
        <v>-34.630000000000003</v>
      </c>
      <c r="N1672">
        <v>-2.54</v>
      </c>
      <c r="O1672">
        <v>-4.3499999999999996</v>
      </c>
      <c r="P1672">
        <v>-3.22</v>
      </c>
      <c r="Q1672">
        <v>-2.85</v>
      </c>
      <c r="R1672">
        <v>-9.52</v>
      </c>
      <c r="S1672">
        <v>-5.7</v>
      </c>
      <c r="T1672">
        <v>1.59</v>
      </c>
      <c r="U1672">
        <v>1.38</v>
      </c>
      <c r="V1672">
        <v>1.33</v>
      </c>
      <c r="W1672">
        <v>3.61</v>
      </c>
      <c r="X1672">
        <v>1.39</v>
      </c>
      <c r="Y1672">
        <v>1.1000000000000001</v>
      </c>
      <c r="Z1672">
        <v>1.6</v>
      </c>
      <c r="AA1672">
        <v>3.15</v>
      </c>
      <c r="AB1672">
        <v>2.42</v>
      </c>
      <c r="AC1672">
        <v>0.79</v>
      </c>
      <c r="AD1672">
        <v>6.85</v>
      </c>
      <c r="AE1672">
        <v>5.18</v>
      </c>
      <c r="AF1672">
        <v>3.331666666666667</v>
      </c>
      <c r="AG1672" t="str">
        <f>HYPERLINK("https://finance.naver.com/item/fchart.naver?code=052900", "KX하이텍 차트보기")</f>
        <v>KX하이텍 차트보기</v>
      </c>
    </row>
    <row r="1673" spans="1:33" x14ac:dyDescent="0.3">
      <c r="A1673" t="s">
        <v>6719</v>
      </c>
      <c r="B1673" t="s">
        <v>34</v>
      </c>
      <c r="C1673" t="s">
        <v>6720</v>
      </c>
      <c r="D1673">
        <v>53311.38</v>
      </c>
      <c r="E1673" t="s">
        <v>6721</v>
      </c>
      <c r="F1673">
        <v>8.2899999999999991</v>
      </c>
      <c r="G1673">
        <v>0.5</v>
      </c>
      <c r="H1673">
        <v>494</v>
      </c>
      <c r="I1673">
        <v>2.690000057220459</v>
      </c>
      <c r="J1673" t="s">
        <v>6722</v>
      </c>
      <c r="K1673">
        <v>5460</v>
      </c>
      <c r="L1673">
        <v>4095</v>
      </c>
      <c r="M1673">
        <v>-25</v>
      </c>
      <c r="N1673">
        <v>4.46</v>
      </c>
      <c r="O1673">
        <v>-3.3</v>
      </c>
      <c r="P1673">
        <v>-4.7300000000000004</v>
      </c>
      <c r="Q1673">
        <v>-14.4</v>
      </c>
      <c r="R1673">
        <v>-7.44</v>
      </c>
      <c r="S1673">
        <v>3.37</v>
      </c>
      <c r="T1673">
        <v>1.29</v>
      </c>
      <c r="U1673">
        <v>1.1399999999999999</v>
      </c>
      <c r="V1673">
        <v>1.79</v>
      </c>
      <c r="W1673">
        <v>3.6</v>
      </c>
      <c r="X1673">
        <v>1.31</v>
      </c>
      <c r="Y1673">
        <v>2.5299999999999998</v>
      </c>
      <c r="Z1673">
        <v>3.46</v>
      </c>
      <c r="AA1673">
        <v>2.89</v>
      </c>
      <c r="AB1673">
        <v>2.64</v>
      </c>
      <c r="AC1673">
        <v>4</v>
      </c>
      <c r="AD1673">
        <v>5.68</v>
      </c>
      <c r="AE1673">
        <v>1.33</v>
      </c>
      <c r="AF1673">
        <v>3.333333333333333</v>
      </c>
      <c r="AG1673" t="str">
        <f>HYPERLINK("https://finance.naver.com/item/fchart.naver?code=000430", "대원강업 차트보기")</f>
        <v>대원강업 차트보기</v>
      </c>
    </row>
    <row r="1674" spans="1:33" x14ac:dyDescent="0.3">
      <c r="A1674" t="s">
        <v>6723</v>
      </c>
      <c r="B1674" t="s">
        <v>55</v>
      </c>
      <c r="C1674" t="s">
        <v>6724</v>
      </c>
      <c r="D1674">
        <v>38229.519999999997</v>
      </c>
      <c r="E1674" t="s">
        <v>6725</v>
      </c>
      <c r="F1674">
        <v>5.94</v>
      </c>
      <c r="G1674">
        <v>1.070000052452087</v>
      </c>
      <c r="H1674">
        <v>1939</v>
      </c>
      <c r="I1674">
        <v>1.429999947547913</v>
      </c>
      <c r="J1674" t="s">
        <v>6726</v>
      </c>
      <c r="K1674">
        <v>14610</v>
      </c>
      <c r="L1674">
        <v>11510</v>
      </c>
      <c r="M1674">
        <v>-21.22</v>
      </c>
      <c r="N1674">
        <v>-2.79</v>
      </c>
      <c r="O1674">
        <v>-3.53</v>
      </c>
      <c r="P1674">
        <v>-2.68</v>
      </c>
      <c r="Q1674">
        <v>-7.16</v>
      </c>
      <c r="R1674">
        <v>-10.58</v>
      </c>
      <c r="S1674">
        <v>0.2</v>
      </c>
      <c r="T1674">
        <v>0.94</v>
      </c>
      <c r="U1674">
        <v>0.8</v>
      </c>
      <c r="V1674">
        <v>1.5</v>
      </c>
      <c r="W1674">
        <v>2.8</v>
      </c>
      <c r="X1674">
        <v>1.3</v>
      </c>
      <c r="Y1674">
        <v>1.54</v>
      </c>
      <c r="Z1674">
        <v>2.97</v>
      </c>
      <c r="AA1674">
        <v>4.41</v>
      </c>
      <c r="AB1674">
        <v>1.79</v>
      </c>
      <c r="AC1674">
        <v>2.56</v>
      </c>
      <c r="AD1674">
        <v>8.14</v>
      </c>
      <c r="AE1674">
        <v>0.13</v>
      </c>
      <c r="AF1674">
        <v>3.3333333333333339</v>
      </c>
      <c r="AG1674" t="str">
        <f>HYPERLINK("https://finance.naver.com/item/fchart.naver?code=215360", "우리산업 차트보기")</f>
        <v>우리산업 차트보기</v>
      </c>
    </row>
    <row r="1675" spans="1:33" x14ac:dyDescent="0.3">
      <c r="A1675" t="s">
        <v>6727</v>
      </c>
      <c r="B1675" t="s">
        <v>55</v>
      </c>
      <c r="C1675" t="s">
        <v>6728</v>
      </c>
      <c r="D1675">
        <v>887048.62</v>
      </c>
      <c r="E1675" t="s">
        <v>6729</v>
      </c>
      <c r="F1675">
        <v>13.61</v>
      </c>
      <c r="G1675">
        <v>1.2400000095367429</v>
      </c>
      <c r="H1675">
        <v>775</v>
      </c>
      <c r="I1675">
        <v>0</v>
      </c>
      <c r="J1675" t="s">
        <v>6730</v>
      </c>
      <c r="K1675">
        <v>5200</v>
      </c>
      <c r="L1675">
        <v>10550</v>
      </c>
      <c r="M1675">
        <v>102.88</v>
      </c>
      <c r="N1675">
        <v>13.81</v>
      </c>
      <c r="O1675">
        <v>-16.84</v>
      </c>
      <c r="P1675">
        <v>-1.22</v>
      </c>
      <c r="Q1675">
        <v>15.29</v>
      </c>
      <c r="R1675">
        <v>54.34</v>
      </c>
      <c r="S1675">
        <v>18.37</v>
      </c>
      <c r="T1675">
        <v>7.45</v>
      </c>
      <c r="U1675">
        <v>2.25</v>
      </c>
      <c r="V1675">
        <v>6.95</v>
      </c>
      <c r="W1675">
        <v>7.62</v>
      </c>
      <c r="X1675">
        <v>7.86</v>
      </c>
      <c r="Y1675">
        <v>11.66</v>
      </c>
      <c r="Z1675">
        <v>1.85</v>
      </c>
      <c r="AA1675">
        <v>7.48</v>
      </c>
      <c r="AB1675">
        <v>0.18</v>
      </c>
      <c r="AC1675">
        <v>2.0099999999999998</v>
      </c>
      <c r="AD1675">
        <v>6.91</v>
      </c>
      <c r="AE1675">
        <v>1.58</v>
      </c>
      <c r="AF1675">
        <v>3.335</v>
      </c>
      <c r="AG1675" t="str">
        <f>HYPERLINK("https://finance.naver.com/item/fchart.naver?code=039610", "화성밸브 차트보기")</f>
        <v>화성밸브 차트보기</v>
      </c>
    </row>
    <row r="1676" spans="1:33" x14ac:dyDescent="0.3">
      <c r="A1676" t="s">
        <v>6731</v>
      </c>
      <c r="B1676" t="s">
        <v>34</v>
      </c>
      <c r="C1676" t="s">
        <v>6732</v>
      </c>
      <c r="D1676">
        <v>3577.52</v>
      </c>
      <c r="E1676" t="s">
        <v>6733</v>
      </c>
      <c r="F1676">
        <v>0</v>
      </c>
      <c r="G1676">
        <v>0</v>
      </c>
      <c r="H1676">
        <v>0</v>
      </c>
      <c r="I1676">
        <v>0.60000002384185791</v>
      </c>
      <c r="J1676" t="s">
        <v>6734</v>
      </c>
      <c r="K1676">
        <v>247000</v>
      </c>
      <c r="L1676">
        <v>175600</v>
      </c>
      <c r="M1676">
        <v>-28.91</v>
      </c>
      <c r="N1676">
        <v>-13.07</v>
      </c>
      <c r="O1676">
        <v>-10.07</v>
      </c>
      <c r="P1676">
        <v>-3.43</v>
      </c>
      <c r="Q1676">
        <v>5.36</v>
      </c>
      <c r="R1676">
        <v>-6.89</v>
      </c>
      <c r="S1676">
        <v>-3.3</v>
      </c>
      <c r="T1676">
        <v>2.2400000000000002</v>
      </c>
      <c r="U1676">
        <v>1.65</v>
      </c>
      <c r="V1676">
        <v>2.66</v>
      </c>
      <c r="W1676">
        <v>3.32</v>
      </c>
      <c r="X1676">
        <v>1.89</v>
      </c>
      <c r="Y1676">
        <v>2.16</v>
      </c>
      <c r="Z1676">
        <v>5.83</v>
      </c>
      <c r="AA1676">
        <v>6.1</v>
      </c>
      <c r="AB1676">
        <v>1.29</v>
      </c>
      <c r="AC1676">
        <v>1.61</v>
      </c>
      <c r="AD1676">
        <v>3.65</v>
      </c>
      <c r="AE1676">
        <v>1.53</v>
      </c>
      <c r="AF1676">
        <v>3.335</v>
      </c>
      <c r="AG1676" t="str">
        <f>HYPERLINK("https://finance.naver.com/item/fchart.naver?code=006405", "삼성SDI우 차트보기")</f>
        <v>삼성SDI우 차트보기</v>
      </c>
    </row>
    <row r="1677" spans="1:33" x14ac:dyDescent="0.3">
      <c r="A1677" t="s">
        <v>6735</v>
      </c>
      <c r="B1677" t="s">
        <v>55</v>
      </c>
      <c r="C1677" t="s">
        <v>6736</v>
      </c>
      <c r="D1677">
        <v>696807.67</v>
      </c>
      <c r="E1677" t="s">
        <v>6737</v>
      </c>
      <c r="F1677">
        <v>59.53</v>
      </c>
      <c r="G1677">
        <v>0.75999999046325684</v>
      </c>
      <c r="H1677">
        <v>17</v>
      </c>
      <c r="I1677">
        <v>0</v>
      </c>
      <c r="J1677" t="s">
        <v>6738</v>
      </c>
      <c r="K1677">
        <v>1664</v>
      </c>
      <c r="L1677">
        <v>1012</v>
      </c>
      <c r="M1677">
        <v>-39.18</v>
      </c>
      <c r="N1677">
        <v>-0.88</v>
      </c>
      <c r="O1677">
        <v>-5.05</v>
      </c>
      <c r="P1677">
        <v>-1.47</v>
      </c>
      <c r="Q1677">
        <v>-11.79</v>
      </c>
      <c r="R1677">
        <v>-17.16</v>
      </c>
      <c r="S1677">
        <v>-6.09</v>
      </c>
      <c r="T1677">
        <v>3.01</v>
      </c>
      <c r="U1677">
        <v>1.26</v>
      </c>
      <c r="V1677">
        <v>4.8099999999999996</v>
      </c>
      <c r="W1677">
        <v>5.38</v>
      </c>
      <c r="X1677">
        <v>1.56</v>
      </c>
      <c r="Y1677">
        <v>2.76</v>
      </c>
      <c r="Z1677">
        <v>0.28999999999999998</v>
      </c>
      <c r="AA1677">
        <v>4.01</v>
      </c>
      <c r="AB1677">
        <v>0.31</v>
      </c>
      <c r="AC1677">
        <v>2.19</v>
      </c>
      <c r="AD1677">
        <v>11</v>
      </c>
      <c r="AE1677">
        <v>2.21</v>
      </c>
      <c r="AF1677">
        <v>3.335</v>
      </c>
      <c r="AG1677" t="str">
        <f>HYPERLINK("https://finance.naver.com/item/fchart.naver?code=086960", "MDS테크 차트보기")</f>
        <v>MDS테크 차트보기</v>
      </c>
    </row>
    <row r="1678" spans="1:33" x14ac:dyDescent="0.3">
      <c r="A1678" t="s">
        <v>6739</v>
      </c>
      <c r="B1678" t="s">
        <v>34</v>
      </c>
      <c r="C1678" t="s">
        <v>6740</v>
      </c>
      <c r="D1678">
        <v>2931089.48</v>
      </c>
      <c r="E1678" t="s">
        <v>6741</v>
      </c>
      <c r="F1678">
        <v>0</v>
      </c>
      <c r="G1678">
        <v>1.820000052452087</v>
      </c>
      <c r="H1678">
        <v>0</v>
      </c>
      <c r="I1678">
        <v>0</v>
      </c>
      <c r="J1678" t="s">
        <v>6742</v>
      </c>
      <c r="K1678">
        <v>1470</v>
      </c>
      <c r="L1678">
        <v>1100</v>
      </c>
      <c r="M1678">
        <v>-25.17</v>
      </c>
      <c r="N1678">
        <v>1.85</v>
      </c>
      <c r="O1678">
        <v>-8.49</v>
      </c>
      <c r="P1678">
        <v>-25.46</v>
      </c>
      <c r="Q1678">
        <v>3.05</v>
      </c>
      <c r="R1678">
        <v>46.97</v>
      </c>
      <c r="S1678">
        <v>-6.13</v>
      </c>
      <c r="T1678">
        <v>4.05</v>
      </c>
      <c r="U1678">
        <v>3.15</v>
      </c>
      <c r="V1678">
        <v>4.71</v>
      </c>
      <c r="W1678">
        <v>5.53</v>
      </c>
      <c r="X1678">
        <v>4.78</v>
      </c>
      <c r="Y1678">
        <v>5.81</v>
      </c>
      <c r="Z1678">
        <v>0.46</v>
      </c>
      <c r="AA1678">
        <v>2.7</v>
      </c>
      <c r="AB1678">
        <v>5.41</v>
      </c>
      <c r="AC1678">
        <v>0.55000000000000004</v>
      </c>
      <c r="AD1678">
        <v>9.83</v>
      </c>
      <c r="AE1678">
        <v>1.06</v>
      </c>
      <c r="AF1678">
        <v>3.335</v>
      </c>
      <c r="AG1678" t="str">
        <f>HYPERLINK("https://finance.naver.com/item/fchart.naver?code=007460", "에이프로젠 차트보기")</f>
        <v>에이프로젠 차트보기</v>
      </c>
    </row>
    <row r="1679" spans="1:33" x14ac:dyDescent="0.3">
      <c r="A1679" t="s">
        <v>6743</v>
      </c>
      <c r="B1679" t="s">
        <v>55</v>
      </c>
      <c r="C1679" t="s">
        <v>6744</v>
      </c>
      <c r="D1679">
        <v>91450.14</v>
      </c>
      <c r="E1679" t="s">
        <v>6745</v>
      </c>
      <c r="F1679">
        <v>0</v>
      </c>
      <c r="G1679">
        <v>0.56000000238418579</v>
      </c>
      <c r="H1679">
        <v>0</v>
      </c>
      <c r="I1679">
        <v>0</v>
      </c>
      <c r="J1679" t="s">
        <v>6746</v>
      </c>
      <c r="K1679">
        <v>3000</v>
      </c>
      <c r="L1679">
        <v>2285</v>
      </c>
      <c r="M1679">
        <v>-23.83</v>
      </c>
      <c r="N1679">
        <v>-8.7799999999999994</v>
      </c>
      <c r="O1679">
        <v>-10.8</v>
      </c>
      <c r="P1679">
        <v>0.88</v>
      </c>
      <c r="Q1679">
        <v>1.98</v>
      </c>
      <c r="R1679">
        <v>-5.72</v>
      </c>
      <c r="S1679">
        <v>-10.29</v>
      </c>
      <c r="T1679">
        <v>3.16</v>
      </c>
      <c r="U1679">
        <v>1.92</v>
      </c>
      <c r="V1679">
        <v>2.65</v>
      </c>
      <c r="W1679">
        <v>6.63</v>
      </c>
      <c r="X1679">
        <v>1.2</v>
      </c>
      <c r="Y1679">
        <v>1.66</v>
      </c>
      <c r="Z1679">
        <v>2.78</v>
      </c>
      <c r="AA1679">
        <v>5.63</v>
      </c>
      <c r="AB1679">
        <v>0.33</v>
      </c>
      <c r="AC1679">
        <v>0.3</v>
      </c>
      <c r="AD1679">
        <v>4.7699999999999996</v>
      </c>
      <c r="AE1679">
        <v>6.2</v>
      </c>
      <c r="AF1679">
        <v>3.335</v>
      </c>
      <c r="AG1679" t="str">
        <f>HYPERLINK("https://finance.naver.com/item/fchart.naver?code=100130", "동국S&amp;C 차트보기")</f>
        <v>동국S&amp;C 차트보기</v>
      </c>
    </row>
    <row r="1680" spans="1:33" x14ac:dyDescent="0.3">
      <c r="A1680" t="s">
        <v>6747</v>
      </c>
      <c r="B1680" t="s">
        <v>55</v>
      </c>
      <c r="C1680" t="s">
        <v>6748</v>
      </c>
      <c r="D1680">
        <v>12393.33</v>
      </c>
      <c r="E1680" t="s">
        <v>6749</v>
      </c>
      <c r="J1680" t="s">
        <v>6750</v>
      </c>
      <c r="K1680">
        <v>10910</v>
      </c>
      <c r="L1680">
        <v>10060</v>
      </c>
      <c r="M1680">
        <v>-7.79</v>
      </c>
      <c r="N1680">
        <v>-2.2400000000000002</v>
      </c>
      <c r="O1680">
        <v>-2.37</v>
      </c>
      <c r="P1680">
        <v>-1.78</v>
      </c>
      <c r="Q1680">
        <v>3.09</v>
      </c>
      <c r="R1680">
        <v>4.6500000000000004</v>
      </c>
      <c r="S1680">
        <v>-6.19</v>
      </c>
      <c r="T1680">
        <v>0.48</v>
      </c>
      <c r="U1680">
        <v>1.08</v>
      </c>
      <c r="V1680">
        <v>1.22</v>
      </c>
      <c r="W1680">
        <v>2.58</v>
      </c>
      <c r="X1680">
        <v>1.53</v>
      </c>
      <c r="Y1680">
        <v>0.83</v>
      </c>
      <c r="Z1680">
        <v>4.67</v>
      </c>
      <c r="AA1680">
        <v>2.19</v>
      </c>
      <c r="AB1680">
        <v>1.46</v>
      </c>
      <c r="AC1680">
        <v>1.2</v>
      </c>
      <c r="AD1680">
        <v>3.04</v>
      </c>
      <c r="AE1680">
        <v>7.46</v>
      </c>
      <c r="AF1680">
        <v>3.336666666666666</v>
      </c>
      <c r="AG1680" t="str">
        <f>HYPERLINK("https://finance.naver.com/item/fchart.naver?code=950190", "고스트스튜디오 차트보기")</f>
        <v>고스트스튜디오 차트보기</v>
      </c>
    </row>
    <row r="1681" spans="1:33" x14ac:dyDescent="0.3">
      <c r="A1681" t="s">
        <v>6751</v>
      </c>
      <c r="B1681" t="s">
        <v>55</v>
      </c>
      <c r="C1681" t="s">
        <v>6752</v>
      </c>
      <c r="D1681">
        <v>46188.33</v>
      </c>
      <c r="E1681" t="s">
        <v>6753</v>
      </c>
      <c r="F1681">
        <v>6.73</v>
      </c>
      <c r="G1681">
        <v>0.28999999165534968</v>
      </c>
      <c r="H1681">
        <v>342</v>
      </c>
      <c r="I1681">
        <v>1.299999952316284</v>
      </c>
      <c r="J1681" t="s">
        <v>6754</v>
      </c>
      <c r="K1681">
        <v>2140</v>
      </c>
      <c r="L1681">
        <v>2300</v>
      </c>
      <c r="M1681">
        <v>7.48</v>
      </c>
      <c r="N1681">
        <v>5.5</v>
      </c>
      <c r="O1681">
        <v>2.57</v>
      </c>
      <c r="P1681">
        <v>-6.56</v>
      </c>
      <c r="Q1681">
        <v>13.58</v>
      </c>
      <c r="R1681">
        <v>0.5</v>
      </c>
      <c r="S1681">
        <v>-0.97</v>
      </c>
      <c r="T1681">
        <v>1.34</v>
      </c>
      <c r="U1681">
        <v>0.9</v>
      </c>
      <c r="V1681">
        <v>1.27</v>
      </c>
      <c r="W1681">
        <v>2.15</v>
      </c>
      <c r="X1681">
        <v>0.94</v>
      </c>
      <c r="Y1681">
        <v>0.93</v>
      </c>
      <c r="Z1681">
        <v>4.0999999999999996</v>
      </c>
      <c r="AA1681">
        <v>2.86</v>
      </c>
      <c r="AB1681">
        <v>5.17</v>
      </c>
      <c r="AC1681">
        <v>6.32</v>
      </c>
      <c r="AD1681">
        <v>0.53</v>
      </c>
      <c r="AE1681">
        <v>1.04</v>
      </c>
      <c r="AF1681">
        <v>3.336666666666666</v>
      </c>
      <c r="AG1681" t="str">
        <f>HYPERLINK("https://finance.naver.com/item/fchart.naver?code=019010", "베뉴지 차트보기")</f>
        <v>베뉴지 차트보기</v>
      </c>
    </row>
    <row r="1682" spans="1:33" x14ac:dyDescent="0.3">
      <c r="A1682" t="s">
        <v>6755</v>
      </c>
      <c r="B1682" t="s">
        <v>34</v>
      </c>
      <c r="C1682" t="s">
        <v>6756</v>
      </c>
      <c r="D1682">
        <v>25450.05</v>
      </c>
      <c r="E1682" t="s">
        <v>6757</v>
      </c>
      <c r="F1682">
        <v>18.239999999999998</v>
      </c>
      <c r="G1682">
        <v>0.49000000953674322</v>
      </c>
      <c r="H1682">
        <v>3333</v>
      </c>
      <c r="I1682">
        <v>0.40999999642372131</v>
      </c>
      <c r="J1682" t="s">
        <v>6758</v>
      </c>
      <c r="K1682">
        <v>55100</v>
      </c>
      <c r="L1682">
        <v>60800</v>
      </c>
      <c r="M1682">
        <v>10.34</v>
      </c>
      <c r="N1682">
        <v>11.15</v>
      </c>
      <c r="O1682">
        <v>12.22</v>
      </c>
      <c r="P1682">
        <v>-3.47</v>
      </c>
      <c r="Q1682">
        <v>-17.43</v>
      </c>
      <c r="R1682">
        <v>17.04</v>
      </c>
      <c r="S1682">
        <v>-6.5</v>
      </c>
      <c r="T1682">
        <v>5.36</v>
      </c>
      <c r="U1682">
        <v>4.7699999999999996</v>
      </c>
      <c r="V1682">
        <v>1.48</v>
      </c>
      <c r="W1682">
        <v>3.71</v>
      </c>
      <c r="X1682">
        <v>5.48</v>
      </c>
      <c r="Y1682">
        <v>1.24</v>
      </c>
      <c r="Z1682">
        <v>2.08</v>
      </c>
      <c r="AA1682">
        <v>2.56</v>
      </c>
      <c r="AB1682">
        <v>2.34</v>
      </c>
      <c r="AC1682">
        <v>4.7</v>
      </c>
      <c r="AD1682">
        <v>3.11</v>
      </c>
      <c r="AE1682">
        <v>5.24</v>
      </c>
      <c r="AF1682">
        <v>3.3383333333333329</v>
      </c>
      <c r="AG1682" t="str">
        <f>HYPERLINK("https://finance.naver.com/item/fchart.naver?code=011390", "부산산업 차트보기")</f>
        <v>부산산업 차트보기</v>
      </c>
    </row>
    <row r="1683" spans="1:33" x14ac:dyDescent="0.3">
      <c r="A1683" t="s">
        <v>6759</v>
      </c>
      <c r="B1683" t="s">
        <v>34</v>
      </c>
      <c r="C1683" t="s">
        <v>6760</v>
      </c>
      <c r="D1683">
        <v>65486.81</v>
      </c>
      <c r="E1683" t="s">
        <v>6761</v>
      </c>
      <c r="F1683">
        <v>11.47</v>
      </c>
      <c r="G1683">
        <v>0.72000002861022949</v>
      </c>
      <c r="H1683">
        <v>1160</v>
      </c>
      <c r="I1683">
        <v>2.440000057220459</v>
      </c>
      <c r="J1683" t="s">
        <v>6762</v>
      </c>
      <c r="K1683">
        <v>11950</v>
      </c>
      <c r="L1683">
        <v>13300</v>
      </c>
      <c r="M1683">
        <v>11.3</v>
      </c>
      <c r="N1683">
        <v>12.14</v>
      </c>
      <c r="O1683">
        <v>-1.27</v>
      </c>
      <c r="P1683">
        <v>-1.66</v>
      </c>
      <c r="Q1683">
        <v>-5.44</v>
      </c>
      <c r="R1683">
        <v>3.44</v>
      </c>
      <c r="S1683">
        <v>2.0699999999999998</v>
      </c>
      <c r="T1683">
        <v>1.7</v>
      </c>
      <c r="U1683">
        <v>0.61</v>
      </c>
      <c r="V1683">
        <v>0.76</v>
      </c>
      <c r="W1683">
        <v>1.4</v>
      </c>
      <c r="X1683">
        <v>1.01</v>
      </c>
      <c r="Y1683">
        <v>1.54</v>
      </c>
      <c r="Z1683">
        <v>7.14</v>
      </c>
      <c r="AA1683">
        <v>2.08</v>
      </c>
      <c r="AB1683">
        <v>2.1800000000000002</v>
      </c>
      <c r="AC1683">
        <v>3.89</v>
      </c>
      <c r="AD1683">
        <v>3.41</v>
      </c>
      <c r="AE1683">
        <v>1.34</v>
      </c>
      <c r="AF1683">
        <v>3.34</v>
      </c>
      <c r="AG1683" t="str">
        <f>HYPERLINK("https://finance.naver.com/item/fchart.naver?code=453340", "현대그린푸드 차트보기")</f>
        <v>현대그린푸드 차트보기</v>
      </c>
    </row>
    <row r="1684" spans="1:33" x14ac:dyDescent="0.3">
      <c r="A1684" t="s">
        <v>6763</v>
      </c>
      <c r="B1684" t="s">
        <v>55</v>
      </c>
      <c r="C1684" t="s">
        <v>6764</v>
      </c>
      <c r="D1684">
        <v>172596.48000000001</v>
      </c>
      <c r="E1684" t="s">
        <v>6765</v>
      </c>
      <c r="F1684">
        <v>32.299999999999997</v>
      </c>
      <c r="G1684">
        <v>4.25</v>
      </c>
      <c r="H1684">
        <v>2090</v>
      </c>
      <c r="I1684">
        <v>0</v>
      </c>
      <c r="J1684" t="s">
        <v>6766</v>
      </c>
      <c r="K1684">
        <v>43200</v>
      </c>
      <c r="L1684">
        <v>67500</v>
      </c>
      <c r="M1684">
        <v>56.25</v>
      </c>
      <c r="N1684">
        <v>-13.13</v>
      </c>
      <c r="O1684">
        <v>-4.67</v>
      </c>
      <c r="P1684">
        <v>10.47</v>
      </c>
      <c r="Q1684">
        <v>-2.25</v>
      </c>
      <c r="R1684">
        <v>-1.1200000000000001</v>
      </c>
      <c r="S1684">
        <v>38.979999999999997</v>
      </c>
      <c r="T1684">
        <v>6.55</v>
      </c>
      <c r="U1684">
        <v>3.17</v>
      </c>
      <c r="V1684">
        <v>3.56</v>
      </c>
      <c r="W1684">
        <v>3.74</v>
      </c>
      <c r="X1684">
        <v>3.88</v>
      </c>
      <c r="Y1684">
        <v>3.06</v>
      </c>
      <c r="Z1684">
        <v>2</v>
      </c>
      <c r="AA1684">
        <v>1.47</v>
      </c>
      <c r="AB1684">
        <v>2.94</v>
      </c>
      <c r="AC1684">
        <v>0.6</v>
      </c>
      <c r="AD1684">
        <v>0.28999999999999998</v>
      </c>
      <c r="AE1684">
        <v>12.74</v>
      </c>
      <c r="AF1684">
        <v>3.34</v>
      </c>
      <c r="AG1684" t="str">
        <f>HYPERLINK("https://finance.naver.com/item/fchart.naver?code=241710", "코스메카코리아 차트보기")</f>
        <v>코스메카코리아 차트보기</v>
      </c>
    </row>
    <row r="1685" spans="1:33" x14ac:dyDescent="0.3">
      <c r="A1685" t="s">
        <v>6767</v>
      </c>
      <c r="B1685" t="s">
        <v>55</v>
      </c>
      <c r="C1685" t="s">
        <v>6768</v>
      </c>
      <c r="D1685">
        <v>158081.85999999999</v>
      </c>
      <c r="E1685" t="s">
        <v>6769</v>
      </c>
      <c r="F1685">
        <v>0</v>
      </c>
      <c r="G1685">
        <v>2.809999942779541</v>
      </c>
      <c r="H1685">
        <v>0</v>
      </c>
      <c r="I1685">
        <v>0</v>
      </c>
      <c r="J1685" t="s">
        <v>6770</v>
      </c>
      <c r="K1685">
        <v>9970</v>
      </c>
      <c r="L1685">
        <v>5760</v>
      </c>
      <c r="M1685">
        <v>-42.23</v>
      </c>
      <c r="N1685">
        <v>17.79</v>
      </c>
      <c r="O1685">
        <v>-17.170000000000002</v>
      </c>
      <c r="P1685">
        <v>-9.32</v>
      </c>
      <c r="Q1685">
        <v>-9.58</v>
      </c>
      <c r="R1685">
        <v>-0.85</v>
      </c>
      <c r="S1685">
        <v>-22.34</v>
      </c>
      <c r="T1685">
        <v>4.32</v>
      </c>
      <c r="U1685">
        <v>4.43</v>
      </c>
      <c r="V1685">
        <v>2.64</v>
      </c>
      <c r="W1685">
        <v>5.46</v>
      </c>
      <c r="X1685">
        <v>3.03</v>
      </c>
      <c r="Y1685">
        <v>3.45</v>
      </c>
      <c r="Z1685">
        <v>4.12</v>
      </c>
      <c r="AA1685">
        <v>3.88</v>
      </c>
      <c r="AB1685">
        <v>3.53</v>
      </c>
      <c r="AC1685">
        <v>1.75</v>
      </c>
      <c r="AD1685">
        <v>0.28000000000000003</v>
      </c>
      <c r="AE1685">
        <v>6.48</v>
      </c>
      <c r="AF1685">
        <v>3.34</v>
      </c>
      <c r="AG1685" t="str">
        <f>HYPERLINK("https://finance.naver.com/item/fchart.naver?code=226330", "신테카바이오 차트보기")</f>
        <v>신테카바이오 차트보기</v>
      </c>
    </row>
    <row r="1686" spans="1:33" x14ac:dyDescent="0.3">
      <c r="A1686" t="s">
        <v>6771</v>
      </c>
      <c r="B1686" t="s">
        <v>55</v>
      </c>
      <c r="C1686" t="s">
        <v>6772</v>
      </c>
      <c r="D1686">
        <v>216102.43</v>
      </c>
      <c r="E1686" t="s">
        <v>6773</v>
      </c>
      <c r="F1686">
        <v>25.96</v>
      </c>
      <c r="G1686">
        <v>0.4699999988079071</v>
      </c>
      <c r="H1686">
        <v>23</v>
      </c>
      <c r="I1686">
        <v>0</v>
      </c>
      <c r="J1686" t="s">
        <v>6774</v>
      </c>
      <c r="K1686">
        <v>805</v>
      </c>
      <c r="L1686">
        <v>597</v>
      </c>
      <c r="M1686">
        <v>-25.84</v>
      </c>
      <c r="N1686">
        <v>-0.67</v>
      </c>
      <c r="O1686">
        <v>-1.64</v>
      </c>
      <c r="P1686">
        <v>-1.1100000000000001</v>
      </c>
      <c r="Q1686">
        <v>-7.57</v>
      </c>
      <c r="R1686">
        <v>-10.73</v>
      </c>
      <c r="S1686">
        <v>-4.01</v>
      </c>
      <c r="T1686">
        <v>1</v>
      </c>
      <c r="U1686">
        <v>0.78</v>
      </c>
      <c r="V1686">
        <v>1.7</v>
      </c>
      <c r="W1686">
        <v>3.24</v>
      </c>
      <c r="X1686">
        <v>1.21</v>
      </c>
      <c r="Y1686">
        <v>0.74</v>
      </c>
      <c r="Z1686">
        <v>0.67</v>
      </c>
      <c r="AA1686">
        <v>2.1</v>
      </c>
      <c r="AB1686">
        <v>0.65</v>
      </c>
      <c r="AC1686">
        <v>2.34</v>
      </c>
      <c r="AD1686">
        <v>8.8699999999999992</v>
      </c>
      <c r="AE1686">
        <v>5.42</v>
      </c>
      <c r="AF1686">
        <v>3.3416666666666659</v>
      </c>
      <c r="AG1686" t="str">
        <f>HYPERLINK("https://finance.naver.com/item/fchart.naver?code=038620", "위즈코프 차트보기")</f>
        <v>위즈코프 차트보기</v>
      </c>
    </row>
    <row r="1687" spans="1:33" x14ac:dyDescent="0.3">
      <c r="A1687" t="s">
        <v>6775</v>
      </c>
      <c r="B1687" t="s">
        <v>55</v>
      </c>
      <c r="C1687" t="s">
        <v>6776</v>
      </c>
      <c r="D1687">
        <v>361925.62</v>
      </c>
      <c r="E1687" t="s">
        <v>6777</v>
      </c>
      <c r="F1687">
        <v>0</v>
      </c>
      <c r="G1687">
        <v>0.69999998807907104</v>
      </c>
      <c r="H1687">
        <v>0</v>
      </c>
      <c r="I1687">
        <v>0</v>
      </c>
      <c r="J1687" t="s">
        <v>6778</v>
      </c>
      <c r="K1687">
        <v>2000</v>
      </c>
      <c r="L1687">
        <v>685</v>
      </c>
      <c r="M1687">
        <v>-65.75</v>
      </c>
      <c r="N1687">
        <v>-5.78</v>
      </c>
      <c r="O1687">
        <v>-11.35</v>
      </c>
      <c r="P1687">
        <v>-13.97</v>
      </c>
      <c r="Q1687">
        <v>-19.54</v>
      </c>
      <c r="R1687">
        <v>-6.43</v>
      </c>
      <c r="S1687">
        <v>-27.9</v>
      </c>
      <c r="T1687">
        <v>3.87</v>
      </c>
      <c r="U1687">
        <v>3.53</v>
      </c>
      <c r="V1687">
        <v>4.54</v>
      </c>
      <c r="W1687">
        <v>3.94</v>
      </c>
      <c r="X1687">
        <v>2.5499999999999998</v>
      </c>
      <c r="Y1687">
        <v>5.84</v>
      </c>
      <c r="Z1687">
        <v>1.49</v>
      </c>
      <c r="AA1687">
        <v>3.22</v>
      </c>
      <c r="AB1687">
        <v>3.08</v>
      </c>
      <c r="AC1687">
        <v>4.96</v>
      </c>
      <c r="AD1687">
        <v>2.52</v>
      </c>
      <c r="AE1687">
        <v>4.78</v>
      </c>
      <c r="AF1687">
        <v>3.3416666666666668</v>
      </c>
      <c r="AG1687" t="str">
        <f>HYPERLINK("https://finance.naver.com/item/fchart.naver?code=096630", "에스코넥 차트보기")</f>
        <v>에스코넥 차트보기</v>
      </c>
    </row>
    <row r="1688" spans="1:33" x14ac:dyDescent="0.3">
      <c r="A1688" t="s">
        <v>6779</v>
      </c>
      <c r="B1688" t="s">
        <v>55</v>
      </c>
      <c r="C1688" t="s">
        <v>6780</v>
      </c>
      <c r="D1688">
        <v>496387.81</v>
      </c>
      <c r="E1688" t="s">
        <v>6781</v>
      </c>
      <c r="F1688">
        <v>0</v>
      </c>
      <c r="G1688">
        <v>4.4099998474121094</v>
      </c>
      <c r="H1688">
        <v>0</v>
      </c>
      <c r="I1688">
        <v>0</v>
      </c>
      <c r="J1688" t="s">
        <v>6782</v>
      </c>
      <c r="K1688">
        <v>1859</v>
      </c>
      <c r="L1688">
        <v>1459</v>
      </c>
      <c r="M1688">
        <v>-21.52</v>
      </c>
      <c r="N1688">
        <v>6.42</v>
      </c>
      <c r="O1688">
        <v>-14.37</v>
      </c>
      <c r="P1688">
        <v>4.33</v>
      </c>
      <c r="Q1688">
        <v>-11.28</v>
      </c>
      <c r="R1688">
        <v>6.1</v>
      </c>
      <c r="S1688">
        <v>-4.74</v>
      </c>
      <c r="T1688">
        <v>5.83</v>
      </c>
      <c r="U1688">
        <v>3.28</v>
      </c>
      <c r="V1688">
        <v>6.9</v>
      </c>
      <c r="W1688">
        <v>2.76</v>
      </c>
      <c r="X1688">
        <v>1.45</v>
      </c>
      <c r="Y1688">
        <v>0.84</v>
      </c>
      <c r="Z1688">
        <v>1.1000000000000001</v>
      </c>
      <c r="AA1688">
        <v>4.38</v>
      </c>
      <c r="AB1688">
        <v>0.63</v>
      </c>
      <c r="AC1688">
        <v>4.09</v>
      </c>
      <c r="AD1688">
        <v>4.21</v>
      </c>
      <c r="AE1688">
        <v>5.64</v>
      </c>
      <c r="AF1688">
        <v>3.3416666666666668</v>
      </c>
      <c r="AG1688" t="str">
        <f>HYPERLINK("https://finance.naver.com/item/fchart.naver?code=067290", "JW신약 차트보기")</f>
        <v>JW신약 차트보기</v>
      </c>
    </row>
    <row r="1689" spans="1:33" x14ac:dyDescent="0.3">
      <c r="A1689" t="s">
        <v>6783</v>
      </c>
      <c r="B1689" t="s">
        <v>55</v>
      </c>
      <c r="C1689" t="s">
        <v>6784</v>
      </c>
      <c r="D1689">
        <v>180277.14</v>
      </c>
      <c r="E1689" t="s">
        <v>6785</v>
      </c>
      <c r="F1689">
        <v>0</v>
      </c>
      <c r="G1689">
        <v>1.570000052452087</v>
      </c>
      <c r="H1689">
        <v>0</v>
      </c>
      <c r="I1689">
        <v>0</v>
      </c>
      <c r="J1689" t="s">
        <v>6786</v>
      </c>
      <c r="K1689">
        <v>1888</v>
      </c>
      <c r="L1689">
        <v>1284</v>
      </c>
      <c r="M1689">
        <v>-31.99</v>
      </c>
      <c r="N1689">
        <v>-0.7</v>
      </c>
      <c r="O1689">
        <v>-24.81</v>
      </c>
      <c r="P1689">
        <v>-1.48</v>
      </c>
      <c r="Q1689">
        <v>-5.91</v>
      </c>
      <c r="R1689">
        <v>9.85</v>
      </c>
      <c r="S1689">
        <v>-8.9700000000000006</v>
      </c>
      <c r="T1689">
        <v>1.64</v>
      </c>
      <c r="U1689">
        <v>2.83</v>
      </c>
      <c r="V1689">
        <v>2.27</v>
      </c>
      <c r="W1689">
        <v>3.55</v>
      </c>
      <c r="X1689">
        <v>3.17</v>
      </c>
      <c r="Y1689">
        <v>1.65</v>
      </c>
      <c r="Z1689">
        <v>0.43</v>
      </c>
      <c r="AA1689">
        <v>8.77</v>
      </c>
      <c r="AB1689">
        <v>0.65</v>
      </c>
      <c r="AC1689">
        <v>1.66</v>
      </c>
      <c r="AD1689">
        <v>3.11</v>
      </c>
      <c r="AE1689">
        <v>5.44</v>
      </c>
      <c r="AF1689">
        <v>3.3433333333333328</v>
      </c>
      <c r="AG1689" t="str">
        <f>HYPERLINK("https://finance.naver.com/item/fchart.naver?code=227610", "아우딘퓨쳐스 차트보기")</f>
        <v>아우딘퓨쳐스 차트보기</v>
      </c>
    </row>
    <row r="1690" spans="1:33" x14ac:dyDescent="0.3">
      <c r="A1690" t="s">
        <v>6787</v>
      </c>
      <c r="B1690" t="s">
        <v>55</v>
      </c>
      <c r="C1690" t="s">
        <v>6788</v>
      </c>
      <c r="D1690">
        <v>441341.33</v>
      </c>
      <c r="E1690" t="s">
        <v>6789</v>
      </c>
      <c r="F1690">
        <v>7.7</v>
      </c>
      <c r="G1690">
        <v>0.87999999523162842</v>
      </c>
      <c r="H1690">
        <v>270</v>
      </c>
      <c r="I1690">
        <v>1.440000057220459</v>
      </c>
      <c r="J1690" t="s">
        <v>6790</v>
      </c>
      <c r="K1690">
        <v>3220</v>
      </c>
      <c r="L1690">
        <v>2080</v>
      </c>
      <c r="M1690">
        <v>-35.4</v>
      </c>
      <c r="N1690">
        <v>-5.0199999999999996</v>
      </c>
      <c r="O1690">
        <v>-9.35</v>
      </c>
      <c r="P1690">
        <v>-0.83</v>
      </c>
      <c r="Q1690">
        <v>-7.16</v>
      </c>
      <c r="R1690">
        <v>-11.52</v>
      </c>
      <c r="S1690">
        <v>-6.5</v>
      </c>
      <c r="T1690">
        <v>1.78</v>
      </c>
      <c r="U1690">
        <v>2.48</v>
      </c>
      <c r="V1690">
        <v>1.52</v>
      </c>
      <c r="W1690">
        <v>4.6100000000000003</v>
      </c>
      <c r="X1690">
        <v>1.57</v>
      </c>
      <c r="Y1690">
        <v>1.6</v>
      </c>
      <c r="Z1690">
        <v>2.82</v>
      </c>
      <c r="AA1690">
        <v>3.77</v>
      </c>
      <c r="AB1690">
        <v>0.55000000000000004</v>
      </c>
      <c r="AC1690">
        <v>1.55</v>
      </c>
      <c r="AD1690">
        <v>7.34</v>
      </c>
      <c r="AE1690">
        <v>4.0599999999999996</v>
      </c>
      <c r="AF1690">
        <v>3.3483333333333332</v>
      </c>
      <c r="AG1690" t="str">
        <f>HYPERLINK("https://finance.naver.com/item/fchart.naver?code=271830", "팸텍 차트보기")</f>
        <v>팸텍 차트보기</v>
      </c>
    </row>
    <row r="1691" spans="1:33" x14ac:dyDescent="0.3">
      <c r="A1691" t="s">
        <v>6791</v>
      </c>
      <c r="B1691" t="s">
        <v>34</v>
      </c>
      <c r="C1691" t="s">
        <v>6792</v>
      </c>
      <c r="D1691">
        <v>419426.9</v>
      </c>
      <c r="E1691" t="s">
        <v>6793</v>
      </c>
      <c r="F1691">
        <v>9.14</v>
      </c>
      <c r="G1691">
        <v>0.99000000953674316</v>
      </c>
      <c r="H1691">
        <v>30044</v>
      </c>
      <c r="I1691">
        <v>0.36000001430511469</v>
      </c>
      <c r="J1691" t="s">
        <v>6794</v>
      </c>
      <c r="K1691">
        <v>441500</v>
      </c>
      <c r="L1691">
        <v>274500</v>
      </c>
      <c r="M1691">
        <v>-37.83</v>
      </c>
      <c r="N1691">
        <v>-17.190000000000001</v>
      </c>
      <c r="O1691">
        <v>-11.98</v>
      </c>
      <c r="P1691">
        <v>2.57</v>
      </c>
      <c r="Q1691">
        <v>5.99</v>
      </c>
      <c r="R1691">
        <v>-12.94</v>
      </c>
      <c r="S1691">
        <v>-6.1</v>
      </c>
      <c r="T1691">
        <v>3.19</v>
      </c>
      <c r="U1691">
        <v>2.75</v>
      </c>
      <c r="V1691">
        <v>3.4</v>
      </c>
      <c r="W1691">
        <v>3.61</v>
      </c>
      <c r="X1691">
        <v>2.67</v>
      </c>
      <c r="Y1691">
        <v>1.98</v>
      </c>
      <c r="Z1691">
        <v>5.39</v>
      </c>
      <c r="AA1691">
        <v>4.3600000000000003</v>
      </c>
      <c r="AB1691">
        <v>0.76</v>
      </c>
      <c r="AC1691">
        <v>1.66</v>
      </c>
      <c r="AD1691">
        <v>4.8499999999999996</v>
      </c>
      <c r="AE1691">
        <v>3.08</v>
      </c>
      <c r="AF1691">
        <v>3.35</v>
      </c>
      <c r="AG1691" t="str">
        <f>HYPERLINK("https://finance.naver.com/item/fchart.naver?code=006400", "삼성SDI 차트보기")</f>
        <v>삼성SDI 차트보기</v>
      </c>
    </row>
    <row r="1692" spans="1:33" x14ac:dyDescent="0.3">
      <c r="A1692" t="s">
        <v>6795</v>
      </c>
      <c r="B1692" t="s">
        <v>55</v>
      </c>
      <c r="C1692" t="s">
        <v>6796</v>
      </c>
      <c r="D1692">
        <v>10210.1</v>
      </c>
      <c r="E1692" t="s">
        <v>6797</v>
      </c>
      <c r="F1692">
        <v>17.22</v>
      </c>
      <c r="G1692">
        <v>0.52999997138977051</v>
      </c>
      <c r="H1692">
        <v>90</v>
      </c>
      <c r="I1692">
        <v>2.5799999237060551</v>
      </c>
      <c r="J1692" t="s">
        <v>6798</v>
      </c>
      <c r="K1692">
        <v>1577</v>
      </c>
      <c r="L1692">
        <v>1550</v>
      </c>
      <c r="M1692">
        <v>-1.71</v>
      </c>
      <c r="N1692">
        <v>0.13</v>
      </c>
      <c r="O1692">
        <v>2.2799999999999998</v>
      </c>
      <c r="P1692">
        <v>3.01</v>
      </c>
      <c r="Q1692">
        <v>-5.04</v>
      </c>
      <c r="R1692">
        <v>6.18</v>
      </c>
      <c r="S1692">
        <v>-6.94</v>
      </c>
      <c r="T1692">
        <v>0.79</v>
      </c>
      <c r="U1692">
        <v>1.01</v>
      </c>
      <c r="V1692">
        <v>1</v>
      </c>
      <c r="W1692">
        <v>3.76</v>
      </c>
      <c r="X1692">
        <v>1.05</v>
      </c>
      <c r="Y1692">
        <v>0.93</v>
      </c>
      <c r="Z1692">
        <v>0.16</v>
      </c>
      <c r="AA1692">
        <v>2.2599999999999998</v>
      </c>
      <c r="AB1692">
        <v>3.01</v>
      </c>
      <c r="AC1692">
        <v>1.34</v>
      </c>
      <c r="AD1692">
        <v>5.89</v>
      </c>
      <c r="AE1692">
        <v>7.46</v>
      </c>
      <c r="AF1692">
        <v>3.3533333333333331</v>
      </c>
      <c r="AG1692" t="str">
        <f>HYPERLINK("https://finance.naver.com/item/fchart.naver?code=037760", "쎄니트 차트보기")</f>
        <v>쎄니트 차트보기</v>
      </c>
    </row>
    <row r="1693" spans="1:33" x14ac:dyDescent="0.3">
      <c r="A1693" t="s">
        <v>6799</v>
      </c>
      <c r="B1693" t="s">
        <v>55</v>
      </c>
      <c r="C1693" t="s">
        <v>6800</v>
      </c>
      <c r="D1693">
        <v>156905.29</v>
      </c>
      <c r="E1693" t="s">
        <v>6801</v>
      </c>
      <c r="F1693">
        <v>0</v>
      </c>
      <c r="G1693">
        <v>13.159999847412109</v>
      </c>
      <c r="H1693">
        <v>0</v>
      </c>
      <c r="I1693">
        <v>0</v>
      </c>
      <c r="J1693" t="s">
        <v>6802</v>
      </c>
      <c r="K1693">
        <v>4365</v>
      </c>
      <c r="L1693">
        <v>5540</v>
      </c>
      <c r="M1693">
        <v>26.92</v>
      </c>
      <c r="N1693">
        <v>6.95</v>
      </c>
      <c r="O1693">
        <v>18.14</v>
      </c>
      <c r="P1693">
        <v>10.02</v>
      </c>
      <c r="Q1693">
        <v>-0.95</v>
      </c>
      <c r="R1693">
        <v>-26.22</v>
      </c>
      <c r="S1693">
        <v>25.7</v>
      </c>
      <c r="T1693">
        <v>2.63</v>
      </c>
      <c r="U1693">
        <v>5.09</v>
      </c>
      <c r="V1693">
        <v>3.67</v>
      </c>
      <c r="W1693">
        <v>3.62</v>
      </c>
      <c r="X1693">
        <v>4.2300000000000004</v>
      </c>
      <c r="Y1693">
        <v>5.43</v>
      </c>
      <c r="Z1693">
        <v>2.64</v>
      </c>
      <c r="AA1693">
        <v>3.56</v>
      </c>
      <c r="AB1693">
        <v>2.73</v>
      </c>
      <c r="AC1693">
        <v>0.26</v>
      </c>
      <c r="AD1693">
        <v>6.2</v>
      </c>
      <c r="AE1693">
        <v>4.7300000000000004</v>
      </c>
      <c r="AF1693">
        <v>3.3533333333333331</v>
      </c>
      <c r="AG1693" t="str">
        <f>HYPERLINK("https://finance.naver.com/item/fchart.naver?code=284620", "카이노스메드 차트보기")</f>
        <v>카이노스메드 차트보기</v>
      </c>
    </row>
    <row r="1694" spans="1:33" x14ac:dyDescent="0.3">
      <c r="A1694" t="s">
        <v>6803</v>
      </c>
      <c r="B1694" t="s">
        <v>55</v>
      </c>
      <c r="C1694" t="s">
        <v>6804</v>
      </c>
      <c r="D1694">
        <v>71764</v>
      </c>
      <c r="E1694" t="s">
        <v>6805</v>
      </c>
      <c r="F1694">
        <v>2.72</v>
      </c>
      <c r="G1694">
        <v>0.70999997854232788</v>
      </c>
      <c r="H1694">
        <v>4375</v>
      </c>
      <c r="I1694">
        <v>1.679999947547913</v>
      </c>
      <c r="J1694" t="s">
        <v>6806</v>
      </c>
      <c r="K1694">
        <v>23400</v>
      </c>
      <c r="L1694">
        <v>11910</v>
      </c>
      <c r="M1694">
        <v>-49.1</v>
      </c>
      <c r="N1694">
        <v>-5.7</v>
      </c>
      <c r="O1694">
        <v>-7.09</v>
      </c>
      <c r="P1694">
        <v>-1.68</v>
      </c>
      <c r="Q1694">
        <v>-15.44</v>
      </c>
      <c r="R1694">
        <v>-18.399999999999999</v>
      </c>
      <c r="S1694">
        <v>-7</v>
      </c>
      <c r="T1694">
        <v>3.15</v>
      </c>
      <c r="U1694">
        <v>2.25</v>
      </c>
      <c r="V1694">
        <v>2.88</v>
      </c>
      <c r="W1694">
        <v>4.84</v>
      </c>
      <c r="X1694">
        <v>2.3199999999999998</v>
      </c>
      <c r="Y1694">
        <v>2.02</v>
      </c>
      <c r="Z1694">
        <v>1.81</v>
      </c>
      <c r="AA1694">
        <v>3.15</v>
      </c>
      <c r="AB1694">
        <v>0.57999999999999996</v>
      </c>
      <c r="AC1694">
        <v>3.19</v>
      </c>
      <c r="AD1694">
        <v>7.93</v>
      </c>
      <c r="AE1694">
        <v>3.47</v>
      </c>
      <c r="AF1694">
        <v>3.355</v>
      </c>
      <c r="AG1694" t="str">
        <f>HYPERLINK("https://finance.naver.com/item/fchart.naver?code=054450", "텔레칩스 차트보기")</f>
        <v>텔레칩스 차트보기</v>
      </c>
    </row>
    <row r="1695" spans="1:33" x14ac:dyDescent="0.3">
      <c r="A1695" t="s">
        <v>6807</v>
      </c>
      <c r="B1695" t="s">
        <v>34</v>
      </c>
      <c r="C1695" t="s">
        <v>6808</v>
      </c>
      <c r="D1695">
        <v>1108357.05</v>
      </c>
      <c r="E1695" t="s">
        <v>6809</v>
      </c>
      <c r="F1695">
        <v>32</v>
      </c>
      <c r="G1695">
        <v>15</v>
      </c>
      <c r="H1695">
        <v>2753</v>
      </c>
      <c r="I1695">
        <v>0.47999998927116388</v>
      </c>
      <c r="J1695" t="s">
        <v>6810</v>
      </c>
      <c r="K1695">
        <v>144100</v>
      </c>
      <c r="L1695">
        <v>88100</v>
      </c>
      <c r="M1695">
        <v>-38.86</v>
      </c>
      <c r="N1695">
        <v>-5.0599999999999996</v>
      </c>
      <c r="O1695">
        <v>-14.74</v>
      </c>
      <c r="P1695">
        <v>-2.78</v>
      </c>
      <c r="Q1695">
        <v>-10.050000000000001</v>
      </c>
      <c r="R1695">
        <v>-23.19</v>
      </c>
      <c r="S1695">
        <v>17.45</v>
      </c>
      <c r="T1695">
        <v>3.15</v>
      </c>
      <c r="U1695">
        <v>3.86</v>
      </c>
      <c r="V1695">
        <v>3.65</v>
      </c>
      <c r="W1695">
        <v>5.18</v>
      </c>
      <c r="X1695">
        <v>2.91</v>
      </c>
      <c r="Y1695">
        <v>4.33</v>
      </c>
      <c r="Z1695">
        <v>1.61</v>
      </c>
      <c r="AA1695">
        <v>3.82</v>
      </c>
      <c r="AB1695">
        <v>0.76</v>
      </c>
      <c r="AC1695">
        <v>1.94</v>
      </c>
      <c r="AD1695">
        <v>7.97</v>
      </c>
      <c r="AE1695">
        <v>4.03</v>
      </c>
      <c r="AF1695">
        <v>3.355</v>
      </c>
      <c r="AG1695" t="str">
        <f>HYPERLINK("https://finance.naver.com/item/fchart.naver?code=042700", "한미반도체 차트보기")</f>
        <v>한미반도체 차트보기</v>
      </c>
    </row>
    <row r="1696" spans="1:33" x14ac:dyDescent="0.3">
      <c r="A1696" t="s">
        <v>6811</v>
      </c>
      <c r="B1696" t="s">
        <v>55</v>
      </c>
      <c r="C1696" t="s">
        <v>6812</v>
      </c>
      <c r="D1696">
        <v>100428.76</v>
      </c>
      <c r="E1696" t="s">
        <v>6813</v>
      </c>
      <c r="F1696">
        <v>17.100000000000001</v>
      </c>
      <c r="G1696">
        <v>0.89999997615814209</v>
      </c>
      <c r="H1696">
        <v>229</v>
      </c>
      <c r="I1696">
        <v>1.7899999618530269</v>
      </c>
      <c r="J1696" t="s">
        <v>6814</v>
      </c>
      <c r="K1696">
        <v>4750</v>
      </c>
      <c r="L1696">
        <v>3915</v>
      </c>
      <c r="M1696">
        <v>-17.579999999999998</v>
      </c>
      <c r="N1696">
        <v>-0.51</v>
      </c>
      <c r="O1696">
        <v>3.72</v>
      </c>
      <c r="P1696">
        <v>3.63</v>
      </c>
      <c r="Q1696">
        <v>-8.19</v>
      </c>
      <c r="R1696">
        <v>-7.52</v>
      </c>
      <c r="S1696">
        <v>-7.02</v>
      </c>
      <c r="T1696">
        <v>2</v>
      </c>
      <c r="U1696">
        <v>1.99</v>
      </c>
      <c r="V1696">
        <v>5.37</v>
      </c>
      <c r="W1696">
        <v>2.56</v>
      </c>
      <c r="X1696">
        <v>1.03</v>
      </c>
      <c r="Y1696">
        <v>1.03</v>
      </c>
      <c r="Z1696">
        <v>0.26</v>
      </c>
      <c r="AA1696">
        <v>1.87</v>
      </c>
      <c r="AB1696">
        <v>0.68</v>
      </c>
      <c r="AC1696">
        <v>3.2</v>
      </c>
      <c r="AD1696">
        <v>7.3</v>
      </c>
      <c r="AE1696">
        <v>6.82</v>
      </c>
      <c r="AF1696">
        <v>3.355</v>
      </c>
      <c r="AG1696" t="str">
        <f>HYPERLINK("https://finance.naver.com/item/fchart.naver?code=053300", "한국정보인증 차트보기")</f>
        <v>한국정보인증 차트보기</v>
      </c>
    </row>
    <row r="1697" spans="1:33" x14ac:dyDescent="0.3">
      <c r="A1697" t="s">
        <v>6815</v>
      </c>
      <c r="B1697" t="s">
        <v>34</v>
      </c>
      <c r="C1697" t="s">
        <v>6816</v>
      </c>
      <c r="D1697">
        <v>503974.24</v>
      </c>
      <c r="E1697" t="s">
        <v>6817</v>
      </c>
      <c r="F1697">
        <v>125.75</v>
      </c>
      <c r="G1697">
        <v>2.2400000095367432</v>
      </c>
      <c r="H1697">
        <v>167</v>
      </c>
      <c r="I1697">
        <v>0</v>
      </c>
      <c r="J1697" t="s">
        <v>6818</v>
      </c>
      <c r="K1697">
        <v>14670</v>
      </c>
      <c r="L1697">
        <v>21000</v>
      </c>
      <c r="M1697">
        <v>43.15</v>
      </c>
      <c r="N1697">
        <v>11.58</v>
      </c>
      <c r="O1697">
        <v>0.63</v>
      </c>
      <c r="P1697">
        <v>-12.46</v>
      </c>
      <c r="Q1697">
        <v>29.81</v>
      </c>
      <c r="R1697">
        <v>-7.13</v>
      </c>
      <c r="S1697">
        <v>21.02</v>
      </c>
      <c r="T1697">
        <v>3.37</v>
      </c>
      <c r="U1697">
        <v>3.62</v>
      </c>
      <c r="V1697">
        <v>3.35</v>
      </c>
      <c r="W1697">
        <v>8.32</v>
      </c>
      <c r="X1697">
        <v>3</v>
      </c>
      <c r="Y1697">
        <v>3.07</v>
      </c>
      <c r="Z1697">
        <v>3.44</v>
      </c>
      <c r="AA1697">
        <v>0.17</v>
      </c>
      <c r="AB1697">
        <v>3.72</v>
      </c>
      <c r="AC1697">
        <v>3.58</v>
      </c>
      <c r="AD1697">
        <v>2.38</v>
      </c>
      <c r="AE1697">
        <v>6.85</v>
      </c>
      <c r="AF1697">
        <v>3.3566666666666669</v>
      </c>
      <c r="AG1697" t="str">
        <f>HYPERLINK("https://finance.naver.com/item/fchart.naver?code=077970", "STX엔진 차트보기")</f>
        <v>STX엔진 차트보기</v>
      </c>
    </row>
    <row r="1698" spans="1:33" x14ac:dyDescent="0.3">
      <c r="A1698" t="s">
        <v>6819</v>
      </c>
      <c r="B1698" t="s">
        <v>55</v>
      </c>
      <c r="C1698" t="s">
        <v>6820</v>
      </c>
      <c r="D1698">
        <v>3441.38</v>
      </c>
      <c r="E1698" t="s">
        <v>6821</v>
      </c>
      <c r="F1698">
        <v>3.18</v>
      </c>
      <c r="G1698">
        <v>0.2199999988079071</v>
      </c>
      <c r="H1698">
        <v>2201</v>
      </c>
      <c r="I1698">
        <v>1.429999947547913</v>
      </c>
      <c r="J1698" t="s">
        <v>6822</v>
      </c>
      <c r="K1698">
        <v>8240</v>
      </c>
      <c r="L1698">
        <v>7000</v>
      </c>
      <c r="M1698">
        <v>-15.05</v>
      </c>
      <c r="N1698">
        <v>0.14000000000000001</v>
      </c>
      <c r="O1698">
        <v>-2.8</v>
      </c>
      <c r="P1698">
        <v>-2.4700000000000002</v>
      </c>
      <c r="Q1698">
        <v>-6.17</v>
      </c>
      <c r="R1698">
        <v>-1.02</v>
      </c>
      <c r="S1698">
        <v>-2.85</v>
      </c>
      <c r="T1698">
        <v>0.27</v>
      </c>
      <c r="U1698">
        <v>0.6</v>
      </c>
      <c r="V1698">
        <v>0.55000000000000004</v>
      </c>
      <c r="W1698">
        <v>2.04</v>
      </c>
      <c r="X1698">
        <v>0.45</v>
      </c>
      <c r="Y1698">
        <v>0.55000000000000004</v>
      </c>
      <c r="Z1698">
        <v>0.52</v>
      </c>
      <c r="AA1698">
        <v>4.67</v>
      </c>
      <c r="AB1698">
        <v>4.49</v>
      </c>
      <c r="AC1698">
        <v>3.02</v>
      </c>
      <c r="AD1698">
        <v>2.27</v>
      </c>
      <c r="AE1698">
        <v>5.18</v>
      </c>
      <c r="AF1698">
        <v>3.3583333333333329</v>
      </c>
      <c r="AG1698" t="str">
        <f>HYPERLINK("https://finance.naver.com/item/fchart.naver?code=017650", "대림제지 차트보기")</f>
        <v>대림제지 차트보기</v>
      </c>
    </row>
    <row r="1699" spans="1:33" x14ac:dyDescent="0.3">
      <c r="A1699" t="s">
        <v>6823</v>
      </c>
      <c r="B1699" t="s">
        <v>55</v>
      </c>
      <c r="C1699" t="s">
        <v>6824</v>
      </c>
      <c r="D1699">
        <v>18972.759999999998</v>
      </c>
      <c r="E1699" t="s">
        <v>6825</v>
      </c>
      <c r="F1699">
        <v>8.18</v>
      </c>
      <c r="G1699">
        <v>0.37000000476837158</v>
      </c>
      <c r="H1699">
        <v>182</v>
      </c>
      <c r="I1699">
        <v>2.0199999809265141</v>
      </c>
      <c r="J1699" t="s">
        <v>6826</v>
      </c>
      <c r="K1699">
        <v>1812</v>
      </c>
      <c r="L1699">
        <v>1488</v>
      </c>
      <c r="M1699">
        <v>-17.88</v>
      </c>
      <c r="N1699">
        <v>-0.87</v>
      </c>
      <c r="O1699">
        <v>-8.44</v>
      </c>
      <c r="P1699">
        <v>0.25</v>
      </c>
      <c r="Q1699">
        <v>-4.5999999999999996</v>
      </c>
      <c r="R1699">
        <v>-12.39</v>
      </c>
      <c r="S1699">
        <v>2.4900000000000002</v>
      </c>
      <c r="T1699">
        <v>0.56000000000000005</v>
      </c>
      <c r="U1699">
        <v>1.04</v>
      </c>
      <c r="V1699">
        <v>0.68</v>
      </c>
      <c r="W1699">
        <v>2.74</v>
      </c>
      <c r="X1699">
        <v>1.75</v>
      </c>
      <c r="Y1699">
        <v>1.85</v>
      </c>
      <c r="Z1699">
        <v>1.55</v>
      </c>
      <c r="AA1699">
        <v>8.1199999999999992</v>
      </c>
      <c r="AB1699">
        <v>0.37</v>
      </c>
      <c r="AC1699">
        <v>1.68</v>
      </c>
      <c r="AD1699">
        <v>7.08</v>
      </c>
      <c r="AE1699">
        <v>1.35</v>
      </c>
      <c r="AF1699">
        <v>3.3583333333333329</v>
      </c>
      <c r="AG1699" t="str">
        <f>HYPERLINK("https://finance.naver.com/item/fchart.naver?code=032280", "삼일 차트보기")</f>
        <v>삼일 차트보기</v>
      </c>
    </row>
    <row r="1700" spans="1:33" x14ac:dyDescent="0.3">
      <c r="A1700" t="s">
        <v>6827</v>
      </c>
      <c r="B1700" t="s">
        <v>34</v>
      </c>
      <c r="C1700" t="s">
        <v>6828</v>
      </c>
      <c r="D1700">
        <v>8305.19</v>
      </c>
      <c r="E1700" t="s">
        <v>6829</v>
      </c>
      <c r="F1700">
        <v>13.04</v>
      </c>
      <c r="G1700">
        <v>0.75</v>
      </c>
      <c r="H1700">
        <v>9277</v>
      </c>
      <c r="I1700">
        <v>1.820000052452087</v>
      </c>
      <c r="J1700" t="s">
        <v>6830</v>
      </c>
      <c r="K1700">
        <v>107900</v>
      </c>
      <c r="L1700">
        <v>121000</v>
      </c>
      <c r="M1700">
        <v>12.14</v>
      </c>
      <c r="N1700">
        <v>0.67</v>
      </c>
      <c r="O1700">
        <v>9.41</v>
      </c>
      <c r="P1700">
        <v>-6.16</v>
      </c>
      <c r="Q1700">
        <v>11.83</v>
      </c>
      <c r="R1700">
        <v>4.3</v>
      </c>
      <c r="S1700">
        <v>4.1500000000000004</v>
      </c>
      <c r="T1700">
        <v>2.38</v>
      </c>
      <c r="U1700">
        <v>2.29</v>
      </c>
      <c r="V1700">
        <v>2.08</v>
      </c>
      <c r="W1700">
        <v>1.71</v>
      </c>
      <c r="X1700">
        <v>1.45</v>
      </c>
      <c r="Y1700">
        <v>1.42</v>
      </c>
      <c r="Z1700">
        <v>0.28000000000000003</v>
      </c>
      <c r="AA1700">
        <v>4.1100000000000003</v>
      </c>
      <c r="AB1700">
        <v>2.96</v>
      </c>
      <c r="AC1700">
        <v>6.92</v>
      </c>
      <c r="AD1700">
        <v>2.97</v>
      </c>
      <c r="AE1700">
        <v>2.92</v>
      </c>
      <c r="AF1700">
        <v>3.359999999999999</v>
      </c>
      <c r="AG1700" t="str">
        <f>HYPERLINK("https://finance.naver.com/item/fchart.naver?code=000640", "동아쏘시오홀딩스 차트보기")</f>
        <v>동아쏘시오홀딩스 차트보기</v>
      </c>
    </row>
    <row r="1701" spans="1:33" x14ac:dyDescent="0.3">
      <c r="A1701" t="s">
        <v>6831</v>
      </c>
      <c r="B1701" t="s">
        <v>55</v>
      </c>
      <c r="C1701" t="s">
        <v>6832</v>
      </c>
      <c r="D1701">
        <v>42874.19</v>
      </c>
      <c r="E1701" t="s">
        <v>6833</v>
      </c>
      <c r="F1701">
        <v>0</v>
      </c>
      <c r="G1701">
        <v>0.57999998331069946</v>
      </c>
      <c r="H1701">
        <v>0</v>
      </c>
      <c r="I1701">
        <v>0</v>
      </c>
      <c r="J1701" t="s">
        <v>6834</v>
      </c>
      <c r="K1701">
        <v>3340</v>
      </c>
      <c r="L1701">
        <v>2145</v>
      </c>
      <c r="M1701">
        <v>-35.78</v>
      </c>
      <c r="N1701">
        <v>0.47</v>
      </c>
      <c r="O1701">
        <v>-10.039999999999999</v>
      </c>
      <c r="P1701">
        <v>1.31</v>
      </c>
      <c r="Q1701">
        <v>-8.23</v>
      </c>
      <c r="R1701">
        <v>-7.39</v>
      </c>
      <c r="S1701">
        <v>-15.14</v>
      </c>
      <c r="T1701">
        <v>4.4400000000000004</v>
      </c>
      <c r="U1701">
        <v>2</v>
      </c>
      <c r="V1701">
        <v>3.89</v>
      </c>
      <c r="W1701">
        <v>7.17</v>
      </c>
      <c r="X1701">
        <v>1.81</v>
      </c>
      <c r="Y1701">
        <v>1.6</v>
      </c>
      <c r="Z1701">
        <v>0.11</v>
      </c>
      <c r="AA1701">
        <v>5.0199999999999996</v>
      </c>
      <c r="AB1701">
        <v>0.34</v>
      </c>
      <c r="AC1701">
        <v>1.1499999999999999</v>
      </c>
      <c r="AD1701">
        <v>4.08</v>
      </c>
      <c r="AE1701">
        <v>9.4600000000000009</v>
      </c>
      <c r="AF1701">
        <v>3.36</v>
      </c>
      <c r="AG1701" t="str">
        <f>HYPERLINK("https://finance.naver.com/item/fchart.naver?code=290520", "신도기연 차트보기")</f>
        <v>신도기연 차트보기</v>
      </c>
    </row>
    <row r="1702" spans="1:33" x14ac:dyDescent="0.3">
      <c r="A1702" t="s">
        <v>6835</v>
      </c>
      <c r="B1702" t="s">
        <v>34</v>
      </c>
      <c r="C1702" t="s">
        <v>6836</v>
      </c>
      <c r="D1702">
        <v>3583.24</v>
      </c>
      <c r="E1702" t="s">
        <v>6837</v>
      </c>
      <c r="F1702">
        <v>0</v>
      </c>
      <c r="G1702">
        <v>0</v>
      </c>
      <c r="H1702">
        <v>0</v>
      </c>
      <c r="I1702">
        <v>2.869999885559082</v>
      </c>
      <c r="J1702" t="s">
        <v>6838</v>
      </c>
      <c r="K1702">
        <v>112300</v>
      </c>
      <c r="L1702">
        <v>90700</v>
      </c>
      <c r="M1702">
        <v>-19.23</v>
      </c>
      <c r="N1702">
        <v>-2.2599999999999998</v>
      </c>
      <c r="O1702">
        <v>-9.67</v>
      </c>
      <c r="P1702">
        <v>-6</v>
      </c>
      <c r="Q1702">
        <v>-2.99</v>
      </c>
      <c r="R1702">
        <v>9.66</v>
      </c>
      <c r="S1702">
        <v>-3.2</v>
      </c>
      <c r="T1702">
        <v>1.25</v>
      </c>
      <c r="U1702">
        <v>1.79</v>
      </c>
      <c r="V1702">
        <v>1.95</v>
      </c>
      <c r="W1702">
        <v>2.35</v>
      </c>
      <c r="X1702">
        <v>1.61</v>
      </c>
      <c r="Y1702">
        <v>1.23</v>
      </c>
      <c r="Z1702">
        <v>1.81</v>
      </c>
      <c r="AA1702">
        <v>5.4</v>
      </c>
      <c r="AB1702">
        <v>3.08</v>
      </c>
      <c r="AC1702">
        <v>1.27</v>
      </c>
      <c r="AD1702">
        <v>6</v>
      </c>
      <c r="AE1702">
        <v>2.6</v>
      </c>
      <c r="AF1702">
        <v>3.3600000000000012</v>
      </c>
      <c r="AG1702" t="str">
        <f>HYPERLINK("https://finance.naver.com/item/fchart.naver?code=02826K", "삼성물산우B 차트보기")</f>
        <v>삼성물산우B 차트보기</v>
      </c>
    </row>
    <row r="1703" spans="1:33" x14ac:dyDescent="0.3">
      <c r="A1703" t="s">
        <v>6839</v>
      </c>
      <c r="B1703" t="s">
        <v>55</v>
      </c>
      <c r="C1703" t="s">
        <v>6840</v>
      </c>
      <c r="D1703">
        <v>1361010.67</v>
      </c>
      <c r="E1703" t="s">
        <v>6841</v>
      </c>
      <c r="F1703">
        <v>28.78</v>
      </c>
      <c r="G1703">
        <v>2.779999971389771</v>
      </c>
      <c r="H1703">
        <v>576</v>
      </c>
      <c r="I1703">
        <v>0</v>
      </c>
      <c r="J1703" t="s">
        <v>6842</v>
      </c>
      <c r="K1703">
        <v>16090</v>
      </c>
      <c r="L1703">
        <v>16580</v>
      </c>
      <c r="M1703">
        <v>3.05</v>
      </c>
      <c r="N1703">
        <v>68.150000000000006</v>
      </c>
      <c r="O1703">
        <v>-8.2899999999999991</v>
      </c>
      <c r="P1703">
        <v>-8.24</v>
      </c>
      <c r="Q1703">
        <v>-20.21</v>
      </c>
      <c r="R1703">
        <v>-4.28</v>
      </c>
      <c r="S1703">
        <v>0.52</v>
      </c>
      <c r="T1703">
        <v>11</v>
      </c>
      <c r="U1703">
        <v>1.78</v>
      </c>
      <c r="V1703">
        <v>2.2400000000000002</v>
      </c>
      <c r="W1703">
        <v>4.99</v>
      </c>
      <c r="X1703">
        <v>3.24</v>
      </c>
      <c r="Y1703">
        <v>1.98</v>
      </c>
      <c r="Z1703">
        <v>6.2</v>
      </c>
      <c r="AA1703">
        <v>4.66</v>
      </c>
      <c r="AB1703">
        <v>3.68</v>
      </c>
      <c r="AC1703">
        <v>4.05</v>
      </c>
      <c r="AD1703">
        <v>1.32</v>
      </c>
      <c r="AE1703">
        <v>0.26</v>
      </c>
      <c r="AF1703">
        <v>3.3616666666666668</v>
      </c>
      <c r="AG1703" t="str">
        <f>HYPERLINK("https://finance.naver.com/item/fchart.naver?code=460930", "현대힘스 차트보기")</f>
        <v>현대힘스 차트보기</v>
      </c>
    </row>
    <row r="1704" spans="1:33" x14ac:dyDescent="0.3">
      <c r="A1704" t="s">
        <v>6843</v>
      </c>
      <c r="B1704" t="s">
        <v>55</v>
      </c>
      <c r="C1704" t="s">
        <v>6844</v>
      </c>
      <c r="D1704">
        <v>5838029.3799999999</v>
      </c>
      <c r="E1704" t="s">
        <v>6845</v>
      </c>
      <c r="F1704">
        <v>6.64</v>
      </c>
      <c r="G1704">
        <v>1.549999952316284</v>
      </c>
      <c r="H1704">
        <v>1566</v>
      </c>
      <c r="I1704">
        <v>0</v>
      </c>
      <c r="J1704" t="s">
        <v>6846</v>
      </c>
      <c r="K1704">
        <v>8310</v>
      </c>
      <c r="L1704">
        <v>10400</v>
      </c>
      <c r="M1704">
        <v>25.15</v>
      </c>
      <c r="N1704">
        <v>22.07</v>
      </c>
      <c r="O1704">
        <v>30.96</v>
      </c>
      <c r="P1704">
        <v>3.61</v>
      </c>
      <c r="Q1704">
        <v>-15.11</v>
      </c>
      <c r="R1704">
        <v>2.5499999999999998</v>
      </c>
      <c r="S1704">
        <v>-12.69</v>
      </c>
      <c r="T1704">
        <v>6.21</v>
      </c>
      <c r="U1704">
        <v>4.2</v>
      </c>
      <c r="V1704">
        <v>3.11</v>
      </c>
      <c r="W1704">
        <v>4.82</v>
      </c>
      <c r="X1704">
        <v>4.67</v>
      </c>
      <c r="Y1704">
        <v>2.88</v>
      </c>
      <c r="Z1704">
        <v>3.55</v>
      </c>
      <c r="AA1704">
        <v>7.37</v>
      </c>
      <c r="AB1704">
        <v>1.1599999999999999</v>
      </c>
      <c r="AC1704">
        <v>3.13</v>
      </c>
      <c r="AD1704">
        <v>0.55000000000000004</v>
      </c>
      <c r="AE1704">
        <v>4.41</v>
      </c>
      <c r="AF1704">
        <v>3.3616666666666668</v>
      </c>
      <c r="AG1704" t="str">
        <f>HYPERLINK("https://finance.naver.com/item/fchart.naver?code=041190", "우리기술투자 차트보기")</f>
        <v>우리기술투자 차트보기</v>
      </c>
    </row>
    <row r="1705" spans="1:33" x14ac:dyDescent="0.3">
      <c r="A1705" t="s">
        <v>6847</v>
      </c>
      <c r="B1705" t="s">
        <v>34</v>
      </c>
      <c r="C1705" t="s">
        <v>6848</v>
      </c>
      <c r="D1705">
        <v>251924.52</v>
      </c>
      <c r="E1705" t="s">
        <v>6849</v>
      </c>
      <c r="F1705">
        <v>0</v>
      </c>
      <c r="G1705">
        <v>1.450000047683716</v>
      </c>
      <c r="H1705">
        <v>0</v>
      </c>
      <c r="I1705">
        <v>0</v>
      </c>
      <c r="J1705" t="s">
        <v>6850</v>
      </c>
      <c r="K1705">
        <v>1601</v>
      </c>
      <c r="L1705">
        <v>1751</v>
      </c>
      <c r="M1705">
        <v>9.3699999999999992</v>
      </c>
      <c r="N1705">
        <v>-3.79</v>
      </c>
      <c r="O1705">
        <v>-12.08</v>
      </c>
      <c r="P1705">
        <v>33.97</v>
      </c>
      <c r="Q1705">
        <v>2.76</v>
      </c>
      <c r="R1705">
        <v>9.7100000000000009</v>
      </c>
      <c r="S1705">
        <v>-11.69</v>
      </c>
      <c r="T1705">
        <v>2.83</v>
      </c>
      <c r="U1705">
        <v>3.99</v>
      </c>
      <c r="V1705">
        <v>6.18</v>
      </c>
      <c r="W1705">
        <v>4.8099999999999996</v>
      </c>
      <c r="X1705">
        <v>4.41</v>
      </c>
      <c r="Y1705">
        <v>1.55</v>
      </c>
      <c r="Z1705">
        <v>1.34</v>
      </c>
      <c r="AA1705">
        <v>3.03</v>
      </c>
      <c r="AB1705">
        <v>5.5</v>
      </c>
      <c r="AC1705">
        <v>0.56999999999999995</v>
      </c>
      <c r="AD1705">
        <v>2.2000000000000002</v>
      </c>
      <c r="AE1705">
        <v>7.54</v>
      </c>
      <c r="AF1705">
        <v>3.3633333333333328</v>
      </c>
      <c r="AG1705" t="str">
        <f>HYPERLINK("https://finance.naver.com/item/fchart.naver?code=023960", "에쓰씨엔지니어링 차트보기")</f>
        <v>에쓰씨엔지니어링 차트보기</v>
      </c>
    </row>
    <row r="1706" spans="1:33" x14ac:dyDescent="0.3">
      <c r="A1706" t="s">
        <v>6851</v>
      </c>
      <c r="B1706" t="s">
        <v>55</v>
      </c>
      <c r="C1706" t="s">
        <v>6852</v>
      </c>
      <c r="D1706">
        <v>96629.759999999995</v>
      </c>
      <c r="E1706" t="s">
        <v>6853</v>
      </c>
      <c r="F1706">
        <v>0</v>
      </c>
      <c r="G1706">
        <v>0.50999999046325684</v>
      </c>
      <c r="H1706">
        <v>0</v>
      </c>
      <c r="I1706">
        <v>0</v>
      </c>
      <c r="J1706" t="s">
        <v>6854</v>
      </c>
      <c r="K1706">
        <v>19250</v>
      </c>
      <c r="L1706">
        <v>9760</v>
      </c>
      <c r="M1706">
        <v>-49.3</v>
      </c>
      <c r="N1706">
        <v>-10.130000000000001</v>
      </c>
      <c r="O1706">
        <v>-10.8</v>
      </c>
      <c r="P1706">
        <v>4.7699999999999996</v>
      </c>
      <c r="Q1706">
        <v>-18.75</v>
      </c>
      <c r="R1706">
        <v>-11.94</v>
      </c>
      <c r="S1706">
        <v>-11.79</v>
      </c>
      <c r="T1706">
        <v>4.17</v>
      </c>
      <c r="U1706">
        <v>4.1399999999999997</v>
      </c>
      <c r="V1706">
        <v>4.84</v>
      </c>
      <c r="W1706">
        <v>4.1100000000000003</v>
      </c>
      <c r="X1706">
        <v>2.08</v>
      </c>
      <c r="Y1706">
        <v>3.06</v>
      </c>
      <c r="Z1706">
        <v>2.4300000000000002</v>
      </c>
      <c r="AA1706">
        <v>2.61</v>
      </c>
      <c r="AB1706">
        <v>0.99</v>
      </c>
      <c r="AC1706">
        <v>4.5599999999999996</v>
      </c>
      <c r="AD1706">
        <v>5.74</v>
      </c>
      <c r="AE1706">
        <v>3.85</v>
      </c>
      <c r="AF1706">
        <v>3.3633333333333328</v>
      </c>
      <c r="AG1706" t="str">
        <f>HYPERLINK("https://finance.naver.com/item/fchart.naver?code=025900", "동화기업 차트보기")</f>
        <v>동화기업 차트보기</v>
      </c>
    </row>
    <row r="1707" spans="1:33" x14ac:dyDescent="0.3">
      <c r="A1707" t="s">
        <v>6855</v>
      </c>
      <c r="B1707" t="s">
        <v>55</v>
      </c>
      <c r="C1707" t="s">
        <v>6856</v>
      </c>
      <c r="D1707">
        <v>44459.33</v>
      </c>
      <c r="E1707" t="s">
        <v>6857</v>
      </c>
      <c r="F1707">
        <v>0</v>
      </c>
      <c r="G1707">
        <v>1.3999999761581421</v>
      </c>
      <c r="H1707">
        <v>0</v>
      </c>
      <c r="I1707">
        <v>0</v>
      </c>
      <c r="J1707" t="s">
        <v>6858</v>
      </c>
      <c r="K1707">
        <v>6310</v>
      </c>
      <c r="L1707">
        <v>4145</v>
      </c>
      <c r="M1707">
        <v>-34.31</v>
      </c>
      <c r="N1707">
        <v>-3.27</v>
      </c>
      <c r="O1707">
        <v>-15.05</v>
      </c>
      <c r="P1707">
        <v>-37.409999999999997</v>
      </c>
      <c r="Q1707">
        <v>7.22</v>
      </c>
      <c r="R1707">
        <v>-14.69</v>
      </c>
      <c r="S1707">
        <v>2.27</v>
      </c>
      <c r="T1707">
        <v>2.02</v>
      </c>
      <c r="U1707">
        <v>2.62</v>
      </c>
      <c r="V1707">
        <v>8.8699999999999992</v>
      </c>
      <c r="W1707">
        <v>4.0599999999999996</v>
      </c>
      <c r="X1707">
        <v>2.48</v>
      </c>
      <c r="Y1707">
        <v>2.4900000000000002</v>
      </c>
      <c r="Z1707">
        <v>1.62</v>
      </c>
      <c r="AA1707">
        <v>5.74</v>
      </c>
      <c r="AB1707">
        <v>4.22</v>
      </c>
      <c r="AC1707">
        <v>1.78</v>
      </c>
      <c r="AD1707">
        <v>5.92</v>
      </c>
      <c r="AE1707">
        <v>0.91</v>
      </c>
      <c r="AF1707">
        <v>3.3650000000000002</v>
      </c>
      <c r="AG1707" t="str">
        <f>HYPERLINK("https://finance.naver.com/item/fchart.naver?code=023770", "플레이위드 차트보기")</f>
        <v>플레이위드 차트보기</v>
      </c>
    </row>
    <row r="1708" spans="1:33" x14ac:dyDescent="0.3">
      <c r="A1708" t="s">
        <v>6859</v>
      </c>
      <c r="B1708" t="s">
        <v>55</v>
      </c>
      <c r="C1708" t="s">
        <v>6860</v>
      </c>
      <c r="D1708">
        <v>2213175.9500000002</v>
      </c>
      <c r="E1708" t="s">
        <v>6861</v>
      </c>
      <c r="F1708">
        <v>0</v>
      </c>
      <c r="G1708">
        <v>2.880000114440918</v>
      </c>
      <c r="H1708">
        <v>0</v>
      </c>
      <c r="I1708">
        <v>0</v>
      </c>
      <c r="J1708" t="s">
        <v>6862</v>
      </c>
      <c r="K1708">
        <v>2275</v>
      </c>
      <c r="L1708">
        <v>1287</v>
      </c>
      <c r="M1708">
        <v>-43.43</v>
      </c>
      <c r="N1708">
        <v>28.96</v>
      </c>
      <c r="O1708">
        <v>-10.34</v>
      </c>
      <c r="P1708">
        <v>-17.93</v>
      </c>
      <c r="Q1708">
        <v>-17.57</v>
      </c>
      <c r="R1708">
        <v>-7.42</v>
      </c>
      <c r="S1708">
        <v>-17.78</v>
      </c>
      <c r="T1708">
        <v>12.74</v>
      </c>
      <c r="U1708">
        <v>4.3099999999999996</v>
      </c>
      <c r="V1708">
        <v>2.76</v>
      </c>
      <c r="W1708">
        <v>4.5999999999999996</v>
      </c>
      <c r="X1708">
        <v>4.05</v>
      </c>
      <c r="Y1708">
        <v>5.27</v>
      </c>
      <c r="Z1708">
        <v>2.27</v>
      </c>
      <c r="AA1708">
        <v>2.4</v>
      </c>
      <c r="AB1708">
        <v>6.5</v>
      </c>
      <c r="AC1708">
        <v>3.82</v>
      </c>
      <c r="AD1708">
        <v>1.83</v>
      </c>
      <c r="AE1708">
        <v>3.37</v>
      </c>
      <c r="AF1708">
        <v>3.3650000000000002</v>
      </c>
      <c r="AG1708" t="str">
        <f>HYPERLINK("https://finance.naver.com/item/fchart.naver?code=270520", "지오릿에너지 차트보기")</f>
        <v>지오릿에너지 차트보기</v>
      </c>
    </row>
    <row r="1709" spans="1:33" x14ac:dyDescent="0.3">
      <c r="A1709" t="s">
        <v>6863</v>
      </c>
      <c r="B1709" t="s">
        <v>55</v>
      </c>
      <c r="C1709" t="s">
        <v>6864</v>
      </c>
      <c r="D1709">
        <v>6627.14</v>
      </c>
      <c r="E1709" t="s">
        <v>6865</v>
      </c>
      <c r="F1709">
        <v>14.86</v>
      </c>
      <c r="G1709">
        <v>0.64999997615814209</v>
      </c>
      <c r="H1709">
        <v>477</v>
      </c>
      <c r="I1709">
        <v>1.4099999666213989</v>
      </c>
      <c r="J1709" t="s">
        <v>6866</v>
      </c>
      <c r="K1709">
        <v>8970</v>
      </c>
      <c r="L1709">
        <v>7090</v>
      </c>
      <c r="M1709">
        <v>-20.96</v>
      </c>
      <c r="N1709">
        <v>-0.56000000000000005</v>
      </c>
      <c r="O1709">
        <v>-7.77</v>
      </c>
      <c r="P1709">
        <v>1.85</v>
      </c>
      <c r="Q1709">
        <v>-7.99</v>
      </c>
      <c r="R1709">
        <v>-16.059999999999999</v>
      </c>
      <c r="S1709">
        <v>0.76</v>
      </c>
      <c r="T1709">
        <v>2.4</v>
      </c>
      <c r="U1709">
        <v>1.37</v>
      </c>
      <c r="V1709">
        <v>1.84</v>
      </c>
      <c r="W1709">
        <v>3.92</v>
      </c>
      <c r="X1709">
        <v>1.6</v>
      </c>
      <c r="Y1709">
        <v>0.63</v>
      </c>
      <c r="Z1709">
        <v>0.23</v>
      </c>
      <c r="AA1709">
        <v>5.67</v>
      </c>
      <c r="AB1709">
        <v>1.01</v>
      </c>
      <c r="AC1709">
        <v>2.04</v>
      </c>
      <c r="AD1709">
        <v>10.039999999999999</v>
      </c>
      <c r="AE1709">
        <v>1.21</v>
      </c>
      <c r="AF1709">
        <v>3.3666666666666671</v>
      </c>
      <c r="AG1709" t="str">
        <f>HYPERLINK("https://finance.naver.com/item/fchart.naver?code=109080", "옵티시스 차트보기")</f>
        <v>옵티시스 차트보기</v>
      </c>
    </row>
    <row r="1710" spans="1:33" x14ac:dyDescent="0.3">
      <c r="A1710" t="s">
        <v>6867</v>
      </c>
      <c r="B1710" t="s">
        <v>55</v>
      </c>
      <c r="C1710" t="s">
        <v>6868</v>
      </c>
      <c r="D1710">
        <v>13440583.76</v>
      </c>
      <c r="E1710" t="s">
        <v>6869</v>
      </c>
      <c r="F1710">
        <v>0</v>
      </c>
      <c r="G1710">
        <v>0.99000000953674316</v>
      </c>
      <c r="H1710">
        <v>0</v>
      </c>
      <c r="I1710">
        <v>0</v>
      </c>
      <c r="J1710" t="s">
        <v>6870</v>
      </c>
      <c r="K1710">
        <v>2855</v>
      </c>
      <c r="L1710">
        <v>3035</v>
      </c>
      <c r="M1710">
        <v>6.3</v>
      </c>
      <c r="N1710">
        <v>-14.27</v>
      </c>
      <c r="O1710">
        <v>6.31</v>
      </c>
      <c r="P1710">
        <v>14.85</v>
      </c>
      <c r="Q1710">
        <v>12.92</v>
      </c>
      <c r="R1710">
        <v>16.27</v>
      </c>
      <c r="S1710">
        <v>-12.92</v>
      </c>
      <c r="T1710">
        <v>3.08</v>
      </c>
      <c r="U1710">
        <v>5.6</v>
      </c>
      <c r="V1710">
        <v>5.01</v>
      </c>
      <c r="W1710">
        <v>10.41</v>
      </c>
      <c r="X1710">
        <v>3.22</v>
      </c>
      <c r="Y1710">
        <v>2.4900000000000002</v>
      </c>
      <c r="Z1710">
        <v>4.63</v>
      </c>
      <c r="AA1710">
        <v>1.1299999999999999</v>
      </c>
      <c r="AB1710">
        <v>2.96</v>
      </c>
      <c r="AC1710">
        <v>1.24</v>
      </c>
      <c r="AD1710">
        <v>5.05</v>
      </c>
      <c r="AE1710">
        <v>5.19</v>
      </c>
      <c r="AF1710">
        <v>3.3666666666666671</v>
      </c>
      <c r="AG1710" t="str">
        <f>HYPERLINK("https://finance.naver.com/item/fchart.naver?code=084650", "랩지노믹스 차트보기")</f>
        <v>랩지노믹스 차트보기</v>
      </c>
    </row>
    <row r="1711" spans="1:33" x14ac:dyDescent="0.3">
      <c r="A1711" t="s">
        <v>6871</v>
      </c>
      <c r="B1711" t="s">
        <v>55</v>
      </c>
      <c r="C1711" t="s">
        <v>6872</v>
      </c>
      <c r="D1711">
        <v>1019416.67</v>
      </c>
      <c r="E1711" t="s">
        <v>6873</v>
      </c>
      <c r="F1711">
        <v>0</v>
      </c>
      <c r="G1711">
        <v>4.9600000381469727</v>
      </c>
      <c r="H1711">
        <v>0</v>
      </c>
      <c r="I1711">
        <v>0</v>
      </c>
      <c r="J1711" t="s">
        <v>6874</v>
      </c>
      <c r="K1711">
        <v>11670</v>
      </c>
      <c r="L1711">
        <v>13580</v>
      </c>
      <c r="M1711">
        <v>16.37</v>
      </c>
      <c r="N1711">
        <v>-2.44</v>
      </c>
      <c r="O1711">
        <v>-28.87</v>
      </c>
      <c r="P1711">
        <v>94.3</v>
      </c>
      <c r="Q1711">
        <v>-2.34</v>
      </c>
      <c r="R1711">
        <v>0.56999999999999995</v>
      </c>
      <c r="S1711">
        <v>-6.38</v>
      </c>
      <c r="T1711">
        <v>5.92</v>
      </c>
      <c r="U1711">
        <v>8.25</v>
      </c>
      <c r="V1711">
        <v>8.3000000000000007</v>
      </c>
      <c r="W1711">
        <v>1.97</v>
      </c>
      <c r="X1711">
        <v>2.39</v>
      </c>
      <c r="Y1711">
        <v>1.82</v>
      </c>
      <c r="Z1711">
        <v>0.41</v>
      </c>
      <c r="AA1711">
        <v>3.5</v>
      </c>
      <c r="AB1711">
        <v>11.36</v>
      </c>
      <c r="AC1711">
        <v>1.19</v>
      </c>
      <c r="AD1711">
        <v>0.24</v>
      </c>
      <c r="AE1711">
        <v>3.51</v>
      </c>
      <c r="AF1711">
        <v>3.3683333333333341</v>
      </c>
      <c r="AG1711" t="str">
        <f>HYPERLINK("https://finance.naver.com/item/fchart.naver?code=082270", "젬백스 차트보기")</f>
        <v>젬백스 차트보기</v>
      </c>
    </row>
    <row r="1712" spans="1:33" x14ac:dyDescent="0.3">
      <c r="A1712" t="s">
        <v>6875</v>
      </c>
      <c r="B1712" t="s">
        <v>55</v>
      </c>
      <c r="C1712" t="s">
        <v>6876</v>
      </c>
      <c r="D1712">
        <v>1643023.81</v>
      </c>
      <c r="E1712" t="s">
        <v>6877</v>
      </c>
      <c r="F1712">
        <v>4.13</v>
      </c>
      <c r="G1712">
        <v>0.93999999761581421</v>
      </c>
      <c r="H1712">
        <v>299</v>
      </c>
      <c r="I1712">
        <v>0</v>
      </c>
      <c r="J1712" t="s">
        <v>6878</v>
      </c>
      <c r="K1712">
        <v>2540</v>
      </c>
      <c r="L1712">
        <v>1234</v>
      </c>
      <c r="M1712">
        <v>-51.42</v>
      </c>
      <c r="N1712">
        <v>1.73</v>
      </c>
      <c r="O1712">
        <v>-14.52</v>
      </c>
      <c r="P1712">
        <v>2.36</v>
      </c>
      <c r="Q1712">
        <v>-11.17</v>
      </c>
      <c r="R1712">
        <v>-10.37</v>
      </c>
      <c r="S1712">
        <v>-17.11</v>
      </c>
      <c r="T1712">
        <v>8.25</v>
      </c>
      <c r="U1712">
        <v>2.0099999999999998</v>
      </c>
      <c r="V1712">
        <v>3.65</v>
      </c>
      <c r="W1712">
        <v>3.86</v>
      </c>
      <c r="X1712">
        <v>2.98</v>
      </c>
      <c r="Y1712">
        <v>2.97</v>
      </c>
      <c r="Z1712">
        <v>0.21</v>
      </c>
      <c r="AA1712">
        <v>7.22</v>
      </c>
      <c r="AB1712">
        <v>0.65</v>
      </c>
      <c r="AC1712">
        <v>2.89</v>
      </c>
      <c r="AD1712">
        <v>3.48</v>
      </c>
      <c r="AE1712">
        <v>5.76</v>
      </c>
      <c r="AF1712">
        <v>3.3683333333333341</v>
      </c>
      <c r="AG1712" t="str">
        <f>HYPERLINK("https://finance.naver.com/item/fchart.naver?code=299900", "위지윅스튜디오 차트보기")</f>
        <v>위지윅스튜디오 차트보기</v>
      </c>
    </row>
    <row r="1713" spans="1:33" x14ac:dyDescent="0.3">
      <c r="A1713" t="s">
        <v>6879</v>
      </c>
      <c r="B1713" t="s">
        <v>34</v>
      </c>
      <c r="C1713" t="s">
        <v>6880</v>
      </c>
      <c r="D1713">
        <v>16818.810000000001</v>
      </c>
      <c r="E1713" t="s">
        <v>6881</v>
      </c>
      <c r="F1713">
        <v>0</v>
      </c>
      <c r="G1713">
        <v>0</v>
      </c>
      <c r="H1713">
        <v>0</v>
      </c>
      <c r="I1713">
        <v>1.720000028610229</v>
      </c>
      <c r="J1713" t="s">
        <v>6882</v>
      </c>
      <c r="K1713">
        <v>260500</v>
      </c>
      <c r="L1713">
        <v>206500</v>
      </c>
      <c r="M1713">
        <v>-20.73</v>
      </c>
      <c r="N1713">
        <v>-3.95</v>
      </c>
      <c r="O1713">
        <v>-14.63</v>
      </c>
      <c r="P1713">
        <v>8.99</v>
      </c>
      <c r="Q1713">
        <v>-1.81</v>
      </c>
      <c r="R1713">
        <v>-12.7</v>
      </c>
      <c r="S1713">
        <v>-1.63</v>
      </c>
      <c r="T1713">
        <v>2.19</v>
      </c>
      <c r="U1713">
        <v>2.25</v>
      </c>
      <c r="V1713">
        <v>2.54</v>
      </c>
      <c r="W1713">
        <v>3.89</v>
      </c>
      <c r="X1713">
        <v>1.78</v>
      </c>
      <c r="Y1713">
        <v>2.13</v>
      </c>
      <c r="Z1713">
        <v>1.8</v>
      </c>
      <c r="AA1713">
        <v>6.5</v>
      </c>
      <c r="AB1713">
        <v>3.54</v>
      </c>
      <c r="AC1713">
        <v>0.47</v>
      </c>
      <c r="AD1713">
        <v>7.13</v>
      </c>
      <c r="AE1713">
        <v>0.77</v>
      </c>
      <c r="AF1713">
        <v>3.3683333333333341</v>
      </c>
      <c r="AG1713" t="str">
        <f>HYPERLINK("https://finance.naver.com/item/fchart.naver?code=051915", "LG화학우 차트보기")</f>
        <v>LG화학우 차트보기</v>
      </c>
    </row>
    <row r="1714" spans="1:33" x14ac:dyDescent="0.3">
      <c r="A1714" t="s">
        <v>6883</v>
      </c>
      <c r="B1714" t="s">
        <v>55</v>
      </c>
      <c r="C1714" t="s">
        <v>6884</v>
      </c>
      <c r="D1714">
        <v>8922.76</v>
      </c>
      <c r="E1714" t="s">
        <v>6885</v>
      </c>
      <c r="F1714">
        <v>7.98</v>
      </c>
      <c r="G1714">
        <v>0.41999998688697809</v>
      </c>
      <c r="H1714">
        <v>703</v>
      </c>
      <c r="I1714">
        <v>2.6700000762939449</v>
      </c>
      <c r="J1714" t="s">
        <v>6886</v>
      </c>
      <c r="K1714">
        <v>7060</v>
      </c>
      <c r="L1714">
        <v>5610</v>
      </c>
      <c r="M1714">
        <v>-20.54</v>
      </c>
      <c r="N1714">
        <v>-0.71</v>
      </c>
      <c r="O1714">
        <v>4.9800000000000004</v>
      </c>
      <c r="P1714">
        <v>-2.68</v>
      </c>
      <c r="Q1714">
        <v>-12.81</v>
      </c>
      <c r="R1714">
        <v>-2.9</v>
      </c>
      <c r="S1714">
        <v>-1.34</v>
      </c>
      <c r="T1714">
        <v>0.52</v>
      </c>
      <c r="U1714">
        <v>1.57</v>
      </c>
      <c r="V1714">
        <v>1.52</v>
      </c>
      <c r="W1714">
        <v>1.44</v>
      </c>
      <c r="X1714">
        <v>0.72</v>
      </c>
      <c r="Y1714">
        <v>1.35</v>
      </c>
      <c r="Z1714">
        <v>1.37</v>
      </c>
      <c r="AA1714">
        <v>3.17</v>
      </c>
      <c r="AB1714">
        <v>1.76</v>
      </c>
      <c r="AC1714">
        <v>8.9</v>
      </c>
      <c r="AD1714">
        <v>4.03</v>
      </c>
      <c r="AE1714">
        <v>0.99</v>
      </c>
      <c r="AF1714">
        <v>3.37</v>
      </c>
      <c r="AG1714" t="str">
        <f>HYPERLINK("https://finance.naver.com/item/fchart.naver?code=039830", "오로라 차트보기")</f>
        <v>오로라 차트보기</v>
      </c>
    </row>
    <row r="1715" spans="1:33" x14ac:dyDescent="0.3">
      <c r="A1715" t="s">
        <v>6887</v>
      </c>
      <c r="B1715" t="s">
        <v>55</v>
      </c>
      <c r="C1715" t="s">
        <v>6888</v>
      </c>
      <c r="D1715">
        <v>485764.24</v>
      </c>
      <c r="E1715" t="s">
        <v>6889</v>
      </c>
      <c r="F1715">
        <v>9.57</v>
      </c>
      <c r="G1715">
        <v>1.809999942779541</v>
      </c>
      <c r="H1715">
        <v>789</v>
      </c>
      <c r="I1715">
        <v>0</v>
      </c>
      <c r="J1715" t="s">
        <v>6890</v>
      </c>
      <c r="K1715">
        <v>10600</v>
      </c>
      <c r="L1715">
        <v>7550</v>
      </c>
      <c r="M1715">
        <v>-28.77</v>
      </c>
      <c r="N1715">
        <v>13.19</v>
      </c>
      <c r="O1715">
        <v>-4.79</v>
      </c>
      <c r="P1715">
        <v>-5.66</v>
      </c>
      <c r="Q1715">
        <v>-11.47</v>
      </c>
      <c r="R1715">
        <v>-13.76</v>
      </c>
      <c r="S1715">
        <v>-11.45</v>
      </c>
      <c r="T1715">
        <v>4.13</v>
      </c>
      <c r="U1715">
        <v>3.6</v>
      </c>
      <c r="V1715">
        <v>2.82</v>
      </c>
      <c r="W1715">
        <v>5.31</v>
      </c>
      <c r="X1715">
        <v>2.37</v>
      </c>
      <c r="Y1715">
        <v>2</v>
      </c>
      <c r="Z1715">
        <v>3.19</v>
      </c>
      <c r="AA1715">
        <v>1.33</v>
      </c>
      <c r="AB1715">
        <v>2.0099999999999998</v>
      </c>
      <c r="AC1715">
        <v>2.16</v>
      </c>
      <c r="AD1715">
        <v>5.81</v>
      </c>
      <c r="AE1715">
        <v>5.72</v>
      </c>
      <c r="AF1715">
        <v>3.37</v>
      </c>
      <c r="AG1715" t="str">
        <f>HYPERLINK("https://finance.naver.com/item/fchart.naver?code=125210", "아모그린텍 차트보기")</f>
        <v>아모그린텍 차트보기</v>
      </c>
    </row>
    <row r="1716" spans="1:33" x14ac:dyDescent="0.3">
      <c r="A1716" t="s">
        <v>6891</v>
      </c>
      <c r="B1716" t="s">
        <v>34</v>
      </c>
      <c r="C1716" t="s">
        <v>6892</v>
      </c>
      <c r="D1716">
        <v>188983.67</v>
      </c>
      <c r="E1716" t="s">
        <v>6893</v>
      </c>
      <c r="F1716">
        <v>0</v>
      </c>
      <c r="G1716">
        <v>1.200000047683716</v>
      </c>
      <c r="H1716">
        <v>0</v>
      </c>
      <c r="I1716">
        <v>0</v>
      </c>
      <c r="J1716" t="s">
        <v>6894</v>
      </c>
      <c r="K1716">
        <v>1149</v>
      </c>
      <c r="L1716">
        <v>1321</v>
      </c>
      <c r="M1716">
        <v>14.97</v>
      </c>
      <c r="N1716">
        <v>-5.78</v>
      </c>
      <c r="O1716">
        <v>10.49</v>
      </c>
      <c r="P1716">
        <v>16.079999999999998</v>
      </c>
      <c r="Q1716">
        <v>-3.75</v>
      </c>
      <c r="R1716">
        <v>-2.39</v>
      </c>
      <c r="S1716">
        <v>-9.43</v>
      </c>
      <c r="T1716">
        <v>2.21</v>
      </c>
      <c r="U1716">
        <v>5.19</v>
      </c>
      <c r="V1716">
        <v>3.51</v>
      </c>
      <c r="W1716">
        <v>1.47</v>
      </c>
      <c r="X1716">
        <v>0.81</v>
      </c>
      <c r="Y1716">
        <v>1.71</v>
      </c>
      <c r="Z1716">
        <v>2.62</v>
      </c>
      <c r="AA1716">
        <v>2.02</v>
      </c>
      <c r="AB1716">
        <v>4.58</v>
      </c>
      <c r="AC1716">
        <v>2.5499999999999998</v>
      </c>
      <c r="AD1716">
        <v>2.95</v>
      </c>
      <c r="AE1716">
        <v>5.51</v>
      </c>
      <c r="AF1716">
        <v>3.3716666666666661</v>
      </c>
      <c r="AG1716" t="str">
        <f>HYPERLINK("https://finance.naver.com/item/fchart.naver?code=004920", "씨아이테크 차트보기")</f>
        <v>씨아이테크 차트보기</v>
      </c>
    </row>
    <row r="1717" spans="1:33" x14ac:dyDescent="0.3">
      <c r="A1717" t="s">
        <v>6895</v>
      </c>
      <c r="B1717" t="s">
        <v>55</v>
      </c>
      <c r="C1717" t="s">
        <v>6896</v>
      </c>
      <c r="D1717">
        <v>15445.95</v>
      </c>
      <c r="E1717" t="s">
        <v>6897</v>
      </c>
      <c r="F1717">
        <v>0</v>
      </c>
      <c r="G1717">
        <v>0.73000001907348633</v>
      </c>
      <c r="H1717">
        <v>0</v>
      </c>
      <c r="I1717">
        <v>2.3299999237060551</v>
      </c>
      <c r="J1717" t="s">
        <v>6898</v>
      </c>
      <c r="K1717">
        <v>7030</v>
      </c>
      <c r="L1717">
        <v>5160</v>
      </c>
      <c r="M1717">
        <v>-26.6</v>
      </c>
      <c r="N1717">
        <v>-8.99</v>
      </c>
      <c r="O1717">
        <v>-9.25</v>
      </c>
      <c r="P1717">
        <v>11.44</v>
      </c>
      <c r="Q1717">
        <v>-7.84</v>
      </c>
      <c r="R1717">
        <v>-8.2100000000000009</v>
      </c>
      <c r="S1717">
        <v>-3.59</v>
      </c>
      <c r="T1717">
        <v>2.31</v>
      </c>
      <c r="U1717">
        <v>2.09</v>
      </c>
      <c r="V1717">
        <v>5.08</v>
      </c>
      <c r="W1717">
        <v>4.49</v>
      </c>
      <c r="X1717">
        <v>1.99</v>
      </c>
      <c r="Y1717">
        <v>0.95</v>
      </c>
      <c r="Z1717">
        <v>3.89</v>
      </c>
      <c r="AA1717">
        <v>4.43</v>
      </c>
      <c r="AB1717">
        <v>2.25</v>
      </c>
      <c r="AC1717">
        <v>1.75</v>
      </c>
      <c r="AD1717">
        <v>4.13</v>
      </c>
      <c r="AE1717">
        <v>3.78</v>
      </c>
      <c r="AF1717">
        <v>3.371666666666667</v>
      </c>
      <c r="AG1717" t="str">
        <f>HYPERLINK("https://finance.naver.com/item/fchart.naver?code=377330", "이지트로닉스 차트보기")</f>
        <v>이지트로닉스 차트보기</v>
      </c>
    </row>
    <row r="1718" spans="1:33" x14ac:dyDescent="0.3">
      <c r="A1718" t="s">
        <v>6899</v>
      </c>
      <c r="B1718" t="s">
        <v>55</v>
      </c>
      <c r="C1718" t="s">
        <v>6900</v>
      </c>
      <c r="D1718">
        <v>51998.86</v>
      </c>
      <c r="E1718" t="s">
        <v>6901</v>
      </c>
      <c r="F1718">
        <v>0</v>
      </c>
      <c r="G1718">
        <v>0.54000002145767212</v>
      </c>
      <c r="H1718">
        <v>0</v>
      </c>
      <c r="I1718">
        <v>0</v>
      </c>
      <c r="J1718" t="s">
        <v>6902</v>
      </c>
      <c r="K1718">
        <v>3950</v>
      </c>
      <c r="L1718">
        <v>2635</v>
      </c>
      <c r="M1718">
        <v>-33.29</v>
      </c>
      <c r="N1718">
        <v>-7.87</v>
      </c>
      <c r="O1718">
        <v>-8.06</v>
      </c>
      <c r="P1718">
        <v>-2.66</v>
      </c>
      <c r="Q1718">
        <v>-7.89</v>
      </c>
      <c r="R1718">
        <v>-14.01</v>
      </c>
      <c r="S1718">
        <v>3.76</v>
      </c>
      <c r="T1718">
        <v>2.08</v>
      </c>
      <c r="U1718">
        <v>1.69</v>
      </c>
      <c r="V1718">
        <v>3.37</v>
      </c>
      <c r="W1718">
        <v>7.28</v>
      </c>
      <c r="X1718">
        <v>1.9</v>
      </c>
      <c r="Y1718">
        <v>1.54</v>
      </c>
      <c r="Z1718">
        <v>3.78</v>
      </c>
      <c r="AA1718">
        <v>4.7699999999999996</v>
      </c>
      <c r="AB1718">
        <v>0.79</v>
      </c>
      <c r="AC1718">
        <v>1.08</v>
      </c>
      <c r="AD1718">
        <v>7.37</v>
      </c>
      <c r="AE1718">
        <v>2.44</v>
      </c>
      <c r="AF1718">
        <v>3.371666666666667</v>
      </c>
      <c r="AG1718" t="str">
        <f>HYPERLINK("https://finance.naver.com/item/fchart.naver?code=225220", "제놀루션 차트보기")</f>
        <v>제놀루션 차트보기</v>
      </c>
    </row>
    <row r="1719" spans="1:33" x14ac:dyDescent="0.3">
      <c r="A1719" t="s">
        <v>6903</v>
      </c>
      <c r="B1719" t="s">
        <v>55</v>
      </c>
      <c r="C1719" t="s">
        <v>6904</v>
      </c>
      <c r="D1719">
        <v>1384097.14</v>
      </c>
      <c r="E1719" t="s">
        <v>6905</v>
      </c>
      <c r="F1719">
        <v>0</v>
      </c>
      <c r="G1719">
        <v>14.13000011444092</v>
      </c>
      <c r="H1719">
        <v>0</v>
      </c>
      <c r="I1719">
        <v>0</v>
      </c>
      <c r="J1719" t="s">
        <v>6906</v>
      </c>
      <c r="K1719">
        <v>9670</v>
      </c>
      <c r="L1719">
        <v>21600</v>
      </c>
      <c r="M1719">
        <v>123.37</v>
      </c>
      <c r="N1719">
        <v>11</v>
      </c>
      <c r="O1719">
        <v>-8.2200000000000006</v>
      </c>
      <c r="P1719">
        <v>39</v>
      </c>
      <c r="Q1719">
        <v>-4.26</v>
      </c>
      <c r="R1719">
        <v>8.4499999999999993</v>
      </c>
      <c r="S1719">
        <v>55.25</v>
      </c>
      <c r="T1719">
        <v>5.16</v>
      </c>
      <c r="U1719">
        <v>3.92</v>
      </c>
      <c r="V1719">
        <v>6.82</v>
      </c>
      <c r="W1719">
        <v>4.88</v>
      </c>
      <c r="X1719">
        <v>5.42</v>
      </c>
      <c r="Y1719">
        <v>7.03</v>
      </c>
      <c r="Z1719">
        <v>2.13</v>
      </c>
      <c r="AA1719">
        <v>2.1</v>
      </c>
      <c r="AB1719">
        <v>5.72</v>
      </c>
      <c r="AC1719">
        <v>0.87</v>
      </c>
      <c r="AD1719">
        <v>1.56</v>
      </c>
      <c r="AE1719">
        <v>7.86</v>
      </c>
      <c r="AF1719">
        <v>3.3733333333333331</v>
      </c>
      <c r="AG1719" t="str">
        <f>HYPERLINK("https://finance.naver.com/item/fchart.naver?code=314930", "바이오다인 차트보기")</f>
        <v>바이오다인 차트보기</v>
      </c>
    </row>
    <row r="1720" spans="1:33" x14ac:dyDescent="0.3">
      <c r="A1720" t="s">
        <v>6907</v>
      </c>
      <c r="B1720" t="s">
        <v>55</v>
      </c>
      <c r="C1720" t="s">
        <v>6908</v>
      </c>
      <c r="D1720">
        <v>14017.38</v>
      </c>
      <c r="E1720" t="s">
        <v>6909</v>
      </c>
      <c r="F1720">
        <v>5.41</v>
      </c>
      <c r="G1720">
        <v>0.60000002384185791</v>
      </c>
      <c r="H1720">
        <v>1514</v>
      </c>
      <c r="I1720">
        <v>1.830000042915344</v>
      </c>
      <c r="J1720" t="s">
        <v>6910</v>
      </c>
      <c r="K1720">
        <v>9950</v>
      </c>
      <c r="L1720">
        <v>8190</v>
      </c>
      <c r="M1720">
        <v>-17.690000000000001</v>
      </c>
      <c r="N1720">
        <v>-4.0999999999999996</v>
      </c>
      <c r="O1720">
        <v>-3.07</v>
      </c>
      <c r="P1720">
        <v>1.1299999999999999</v>
      </c>
      <c r="Q1720">
        <v>11.82</v>
      </c>
      <c r="R1720">
        <v>-15.76</v>
      </c>
      <c r="S1720">
        <v>-6.85</v>
      </c>
      <c r="T1720">
        <v>1.44</v>
      </c>
      <c r="U1720">
        <v>1.54</v>
      </c>
      <c r="V1720">
        <v>2.09</v>
      </c>
      <c r="W1720">
        <v>4.79</v>
      </c>
      <c r="X1720">
        <v>1.84</v>
      </c>
      <c r="Y1720">
        <v>1.79</v>
      </c>
      <c r="Z1720">
        <v>2.85</v>
      </c>
      <c r="AA1720">
        <v>1.99</v>
      </c>
      <c r="AB1720">
        <v>0.54</v>
      </c>
      <c r="AC1720">
        <v>2.4700000000000002</v>
      </c>
      <c r="AD1720">
        <v>8.57</v>
      </c>
      <c r="AE1720">
        <v>3.83</v>
      </c>
      <c r="AF1720">
        <v>3.375</v>
      </c>
      <c r="AG1720" t="str">
        <f>HYPERLINK("https://finance.naver.com/item/fchart.naver?code=212560", "네오오토 차트보기")</f>
        <v>네오오토 차트보기</v>
      </c>
    </row>
    <row r="1721" spans="1:33" x14ac:dyDescent="0.3">
      <c r="A1721" t="s">
        <v>6911</v>
      </c>
      <c r="B1721" t="s">
        <v>55</v>
      </c>
      <c r="C1721" t="s">
        <v>6912</v>
      </c>
      <c r="D1721">
        <v>2734535</v>
      </c>
      <c r="E1721" t="s">
        <v>6913</v>
      </c>
      <c r="F1721">
        <v>62.73</v>
      </c>
      <c r="G1721">
        <v>5.619999885559082</v>
      </c>
      <c r="H1721">
        <v>88</v>
      </c>
      <c r="I1721">
        <v>0.36000001430511469</v>
      </c>
      <c r="J1721" t="s">
        <v>6914</v>
      </c>
      <c r="K1721">
        <v>4290</v>
      </c>
      <c r="L1721">
        <v>5520</v>
      </c>
      <c r="M1721">
        <v>28.67</v>
      </c>
      <c r="N1721">
        <v>28.82</v>
      </c>
      <c r="O1721">
        <v>11.36</v>
      </c>
      <c r="P1721">
        <v>-1.07</v>
      </c>
      <c r="Q1721">
        <v>7.14</v>
      </c>
      <c r="R1721">
        <v>-17.399999999999999</v>
      </c>
      <c r="S1721">
        <v>-13.2</v>
      </c>
      <c r="T1721">
        <v>4.82</v>
      </c>
      <c r="U1721">
        <v>6.41</v>
      </c>
      <c r="V1721">
        <v>3.72</v>
      </c>
      <c r="W1721">
        <v>4.6100000000000003</v>
      </c>
      <c r="X1721">
        <v>2.9</v>
      </c>
      <c r="Y1721">
        <v>2.83</v>
      </c>
      <c r="Z1721">
        <v>5.98</v>
      </c>
      <c r="AA1721">
        <v>1.77</v>
      </c>
      <c r="AB1721">
        <v>0.28999999999999998</v>
      </c>
      <c r="AC1721">
        <v>1.55</v>
      </c>
      <c r="AD1721">
        <v>6</v>
      </c>
      <c r="AE1721">
        <v>4.66</v>
      </c>
      <c r="AF1721">
        <v>3.375</v>
      </c>
      <c r="AG1721" t="str">
        <f>HYPERLINK("https://finance.naver.com/item/fchart.naver?code=368770", "파이버프로 차트보기")</f>
        <v>파이버프로 차트보기</v>
      </c>
    </row>
    <row r="1722" spans="1:33" x14ac:dyDescent="0.3">
      <c r="A1722" t="s">
        <v>6915</v>
      </c>
      <c r="B1722" t="s">
        <v>55</v>
      </c>
      <c r="C1722" t="s">
        <v>6916</v>
      </c>
      <c r="D1722">
        <v>51637.24</v>
      </c>
      <c r="E1722" t="s">
        <v>6917</v>
      </c>
      <c r="F1722">
        <v>8.1300000000000008</v>
      </c>
      <c r="G1722">
        <v>1</v>
      </c>
      <c r="H1722">
        <v>384</v>
      </c>
      <c r="I1722">
        <v>0</v>
      </c>
      <c r="J1722" t="s">
        <v>6918</v>
      </c>
      <c r="K1722">
        <v>5799</v>
      </c>
      <c r="L1722">
        <v>3120</v>
      </c>
      <c r="M1722">
        <v>-46.2</v>
      </c>
      <c r="N1722">
        <v>-7</v>
      </c>
      <c r="O1722">
        <v>-7.28</v>
      </c>
      <c r="P1722">
        <v>0.79</v>
      </c>
      <c r="Q1722">
        <v>-16.739999999999998</v>
      </c>
      <c r="R1722">
        <v>-34.6</v>
      </c>
      <c r="S1722">
        <v>28.79</v>
      </c>
      <c r="T1722">
        <v>3.43</v>
      </c>
      <c r="U1722">
        <v>2.4900000000000002</v>
      </c>
      <c r="V1722">
        <v>1.86</v>
      </c>
      <c r="W1722">
        <v>6.59</v>
      </c>
      <c r="X1722">
        <v>4.41</v>
      </c>
      <c r="Y1722">
        <v>6.41</v>
      </c>
      <c r="Z1722">
        <v>2.04</v>
      </c>
      <c r="AA1722">
        <v>2.92</v>
      </c>
      <c r="AB1722">
        <v>0.42</v>
      </c>
      <c r="AC1722">
        <v>2.54</v>
      </c>
      <c r="AD1722">
        <v>7.85</v>
      </c>
      <c r="AE1722">
        <v>4.49</v>
      </c>
      <c r="AF1722">
        <v>3.376666666666666</v>
      </c>
      <c r="AG1722" t="str">
        <f>HYPERLINK("https://finance.naver.com/item/fchart.naver?code=450520", "인스웨이브시스템즈 차트보기")</f>
        <v>인스웨이브시스템즈 차트보기</v>
      </c>
    </row>
    <row r="1723" spans="1:33" x14ac:dyDescent="0.3">
      <c r="A1723" t="s">
        <v>6919</v>
      </c>
      <c r="B1723" t="s">
        <v>55</v>
      </c>
      <c r="C1723" t="s">
        <v>6920</v>
      </c>
      <c r="D1723">
        <v>41664.33</v>
      </c>
      <c r="E1723" t="s">
        <v>6921</v>
      </c>
      <c r="F1723">
        <v>9.06</v>
      </c>
      <c r="G1723">
        <v>0.82999998331069946</v>
      </c>
      <c r="H1723">
        <v>928</v>
      </c>
      <c r="I1723">
        <v>2.380000114440918</v>
      </c>
      <c r="J1723" t="s">
        <v>6922</v>
      </c>
      <c r="K1723">
        <v>13700</v>
      </c>
      <c r="L1723">
        <v>8410</v>
      </c>
      <c r="M1723">
        <v>-38.61</v>
      </c>
      <c r="N1723">
        <v>-3.89</v>
      </c>
      <c r="O1723">
        <v>-5.35</v>
      </c>
      <c r="P1723">
        <v>-5.13</v>
      </c>
      <c r="Q1723">
        <v>-4.3</v>
      </c>
      <c r="R1723">
        <v>-14.09</v>
      </c>
      <c r="S1723">
        <v>-17.239999999999998</v>
      </c>
      <c r="T1723">
        <v>2.59</v>
      </c>
      <c r="U1723">
        <v>1.43</v>
      </c>
      <c r="V1723">
        <v>1.95</v>
      </c>
      <c r="W1723">
        <v>4.32</v>
      </c>
      <c r="X1723">
        <v>2.64</v>
      </c>
      <c r="Y1723">
        <v>2.85</v>
      </c>
      <c r="Z1723">
        <v>1.5</v>
      </c>
      <c r="AA1723">
        <v>3.74</v>
      </c>
      <c r="AB1723">
        <v>2.63</v>
      </c>
      <c r="AC1723">
        <v>1</v>
      </c>
      <c r="AD1723">
        <v>5.34</v>
      </c>
      <c r="AE1723">
        <v>6.05</v>
      </c>
      <c r="AF1723">
        <v>3.3766666666666669</v>
      </c>
      <c r="AG1723" t="str">
        <f>HYPERLINK("https://finance.naver.com/item/fchart.naver?code=065510", "휴비츠 차트보기")</f>
        <v>휴비츠 차트보기</v>
      </c>
    </row>
    <row r="1724" spans="1:33" x14ac:dyDescent="0.3">
      <c r="A1724" t="s">
        <v>6923</v>
      </c>
      <c r="B1724" t="s">
        <v>34</v>
      </c>
      <c r="C1724" t="s">
        <v>6924</v>
      </c>
      <c r="D1724">
        <v>1765382.14</v>
      </c>
      <c r="E1724" t="s">
        <v>6925</v>
      </c>
      <c r="F1724">
        <v>43.46</v>
      </c>
      <c r="G1724">
        <v>4.1599998474121094</v>
      </c>
      <c r="H1724">
        <v>1475</v>
      </c>
      <c r="I1724">
        <v>0.15999999642372131</v>
      </c>
      <c r="J1724" t="s">
        <v>6926</v>
      </c>
      <c r="K1724">
        <v>38400</v>
      </c>
      <c r="L1724">
        <v>64100</v>
      </c>
      <c r="M1724">
        <v>66.930000000000007</v>
      </c>
      <c r="N1724">
        <v>4.2300000000000004</v>
      </c>
      <c r="O1724">
        <v>14.29</v>
      </c>
      <c r="P1724">
        <v>2.68</v>
      </c>
      <c r="Q1724">
        <v>6.93</v>
      </c>
      <c r="R1724">
        <v>21.95</v>
      </c>
      <c r="S1724">
        <v>11.63</v>
      </c>
      <c r="T1724">
        <v>1.55</v>
      </c>
      <c r="U1724">
        <v>2.5499999999999998</v>
      </c>
      <c r="V1724">
        <v>2.56</v>
      </c>
      <c r="W1724">
        <v>3.48</v>
      </c>
      <c r="X1724">
        <v>4.2699999999999996</v>
      </c>
      <c r="Y1724">
        <v>3.1</v>
      </c>
      <c r="Z1724">
        <v>2.73</v>
      </c>
      <c r="AA1724">
        <v>5.6</v>
      </c>
      <c r="AB1724">
        <v>1.05</v>
      </c>
      <c r="AC1724">
        <v>1.99</v>
      </c>
      <c r="AD1724">
        <v>5.14</v>
      </c>
      <c r="AE1724">
        <v>3.75</v>
      </c>
      <c r="AF1724">
        <v>3.3766666666666669</v>
      </c>
      <c r="AG1724" t="str">
        <f>HYPERLINK("https://finance.naver.com/item/fchart.naver?code=064350", "현대로템 차트보기")</f>
        <v>현대로템 차트보기</v>
      </c>
    </row>
    <row r="1725" spans="1:33" x14ac:dyDescent="0.3">
      <c r="A1725" t="s">
        <v>6927</v>
      </c>
      <c r="B1725" t="s">
        <v>55</v>
      </c>
      <c r="C1725" t="s">
        <v>6928</v>
      </c>
      <c r="D1725">
        <v>80916.05</v>
      </c>
      <c r="E1725" t="s">
        <v>6929</v>
      </c>
      <c r="F1725">
        <v>0</v>
      </c>
      <c r="G1725">
        <v>0.49000000953674322</v>
      </c>
      <c r="H1725">
        <v>0</v>
      </c>
      <c r="I1725">
        <v>0</v>
      </c>
      <c r="J1725" t="s">
        <v>6930</v>
      </c>
      <c r="K1725">
        <v>577</v>
      </c>
      <c r="L1725">
        <v>475</v>
      </c>
      <c r="M1725">
        <v>-17.68</v>
      </c>
      <c r="N1725">
        <v>3.26</v>
      </c>
      <c r="O1725">
        <v>-5.43</v>
      </c>
      <c r="P1725">
        <v>-1.38</v>
      </c>
      <c r="Q1725">
        <v>10.71</v>
      </c>
      <c r="R1725">
        <v>-15.19</v>
      </c>
      <c r="S1725">
        <v>-8.91</v>
      </c>
      <c r="T1725">
        <v>1.75</v>
      </c>
      <c r="U1725">
        <v>1.21</v>
      </c>
      <c r="V1725">
        <v>2.02</v>
      </c>
      <c r="W1725">
        <v>3.03</v>
      </c>
      <c r="X1725">
        <v>2.86</v>
      </c>
      <c r="Y1725">
        <v>2.0299999999999998</v>
      </c>
      <c r="Z1725">
        <v>1.86</v>
      </c>
      <c r="AA1725">
        <v>4.49</v>
      </c>
      <c r="AB1725">
        <v>0.68</v>
      </c>
      <c r="AC1725">
        <v>3.53</v>
      </c>
      <c r="AD1725">
        <v>5.31</v>
      </c>
      <c r="AE1725">
        <v>4.3899999999999997</v>
      </c>
      <c r="AF1725">
        <v>3.3766666666666669</v>
      </c>
      <c r="AG1725" t="str">
        <f>HYPERLINK("https://finance.naver.com/item/fchart.naver?code=035620", "바른손이앤에이 차트보기")</f>
        <v>바른손이앤에이 차트보기</v>
      </c>
    </row>
    <row r="1726" spans="1:33" x14ac:dyDescent="0.3">
      <c r="A1726" t="s">
        <v>6931</v>
      </c>
      <c r="B1726" t="s">
        <v>55</v>
      </c>
      <c r="C1726" t="s">
        <v>6932</v>
      </c>
      <c r="D1726">
        <v>639068.67000000004</v>
      </c>
      <c r="E1726" t="s">
        <v>6933</v>
      </c>
      <c r="F1726">
        <v>0</v>
      </c>
      <c r="G1726">
        <v>1.429999947547913</v>
      </c>
      <c r="H1726">
        <v>0</v>
      </c>
      <c r="I1726">
        <v>0</v>
      </c>
      <c r="J1726" t="s">
        <v>6934</v>
      </c>
      <c r="K1726">
        <v>36500</v>
      </c>
      <c r="L1726">
        <v>16120</v>
      </c>
      <c r="M1726">
        <v>-55.84</v>
      </c>
      <c r="N1726">
        <v>-15.25</v>
      </c>
      <c r="O1726">
        <v>-2.76</v>
      </c>
      <c r="P1726">
        <v>-7.8</v>
      </c>
      <c r="Q1726">
        <v>-3.17</v>
      </c>
      <c r="R1726">
        <v>-19.27</v>
      </c>
      <c r="S1726">
        <v>-17.47</v>
      </c>
      <c r="T1726">
        <v>5.91</v>
      </c>
      <c r="U1726">
        <v>6.87</v>
      </c>
      <c r="V1726">
        <v>5.07</v>
      </c>
      <c r="W1726">
        <v>6.56</v>
      </c>
      <c r="X1726">
        <v>3.28</v>
      </c>
      <c r="Y1726">
        <v>1.86</v>
      </c>
      <c r="Z1726">
        <v>2.58</v>
      </c>
      <c r="AA1726">
        <v>0.4</v>
      </c>
      <c r="AB1726">
        <v>1.54</v>
      </c>
      <c r="AC1726">
        <v>0.48</v>
      </c>
      <c r="AD1726">
        <v>5.88</v>
      </c>
      <c r="AE1726">
        <v>9.39</v>
      </c>
      <c r="AF1726">
        <v>3.378333333333333</v>
      </c>
      <c r="AG1726" t="str">
        <f>HYPERLINK("https://finance.naver.com/item/fchart.naver?code=200710", "에이디테크놀로지 차트보기")</f>
        <v>에이디테크놀로지 차트보기</v>
      </c>
    </row>
    <row r="1727" spans="1:33" x14ac:dyDescent="0.3">
      <c r="A1727" t="s">
        <v>6935</v>
      </c>
      <c r="B1727" t="s">
        <v>55</v>
      </c>
      <c r="C1727" t="s">
        <v>6936</v>
      </c>
      <c r="D1727">
        <v>343055.62</v>
      </c>
      <c r="E1727" t="s">
        <v>6937</v>
      </c>
      <c r="F1727">
        <v>10.37</v>
      </c>
      <c r="G1727">
        <v>0.87999999523162842</v>
      </c>
      <c r="H1727">
        <v>620</v>
      </c>
      <c r="I1727">
        <v>1.2400000095367429</v>
      </c>
      <c r="J1727" t="s">
        <v>6938</v>
      </c>
      <c r="K1727">
        <v>10210</v>
      </c>
      <c r="L1727">
        <v>6430</v>
      </c>
      <c r="M1727">
        <v>-37.020000000000003</v>
      </c>
      <c r="N1727">
        <v>-4.32</v>
      </c>
      <c r="O1727">
        <v>-11.88</v>
      </c>
      <c r="P1727">
        <v>8.43</v>
      </c>
      <c r="Q1727">
        <v>-14.34</v>
      </c>
      <c r="R1727">
        <v>-24.37</v>
      </c>
      <c r="S1727">
        <v>10.3</v>
      </c>
      <c r="T1727">
        <v>2.67</v>
      </c>
      <c r="U1727">
        <v>3.75</v>
      </c>
      <c r="V1727">
        <v>3.77</v>
      </c>
      <c r="W1727">
        <v>4.87</v>
      </c>
      <c r="X1727">
        <v>3.72</v>
      </c>
      <c r="Y1727">
        <v>2.75</v>
      </c>
      <c r="Z1727">
        <v>1.62</v>
      </c>
      <c r="AA1727">
        <v>3.17</v>
      </c>
      <c r="AB1727">
        <v>2.2400000000000002</v>
      </c>
      <c r="AC1727">
        <v>2.94</v>
      </c>
      <c r="AD1727">
        <v>6.55</v>
      </c>
      <c r="AE1727">
        <v>3.75</v>
      </c>
      <c r="AF1727">
        <v>3.378333333333333</v>
      </c>
      <c r="AG1727" t="str">
        <f>HYPERLINK("https://finance.naver.com/item/fchart.naver?code=036200", "유니셈 차트보기")</f>
        <v>유니셈 차트보기</v>
      </c>
    </row>
    <row r="1728" spans="1:33" x14ac:dyDescent="0.3">
      <c r="A1728" t="s">
        <v>6939</v>
      </c>
      <c r="B1728" t="s">
        <v>55</v>
      </c>
      <c r="C1728" t="s">
        <v>6940</v>
      </c>
      <c r="D1728">
        <v>50059.76</v>
      </c>
      <c r="E1728" t="s">
        <v>6941</v>
      </c>
      <c r="F1728">
        <v>15.13</v>
      </c>
      <c r="G1728">
        <v>0.82999998331069946</v>
      </c>
      <c r="H1728">
        <v>337</v>
      </c>
      <c r="I1728">
        <v>6.2699999809265137</v>
      </c>
      <c r="J1728" t="s">
        <v>6942</v>
      </c>
      <c r="K1728">
        <v>5700</v>
      </c>
      <c r="L1728">
        <v>5100</v>
      </c>
      <c r="M1728">
        <v>-10.53</v>
      </c>
      <c r="N1728">
        <v>0.59</v>
      </c>
      <c r="O1728">
        <v>-6.29</v>
      </c>
      <c r="P1728">
        <v>3.14</v>
      </c>
      <c r="Q1728">
        <v>-5.25</v>
      </c>
      <c r="R1728">
        <v>-2.0699999999999998</v>
      </c>
      <c r="S1728">
        <v>-1.53</v>
      </c>
      <c r="T1728">
        <v>1.46</v>
      </c>
      <c r="U1728">
        <v>0.77</v>
      </c>
      <c r="V1728">
        <v>1.44</v>
      </c>
      <c r="W1728">
        <v>1.83</v>
      </c>
      <c r="X1728">
        <v>0.52</v>
      </c>
      <c r="Y1728">
        <v>0.56999999999999995</v>
      </c>
      <c r="Z1728">
        <v>0.4</v>
      </c>
      <c r="AA1728">
        <v>8.17</v>
      </c>
      <c r="AB1728">
        <v>2.1800000000000002</v>
      </c>
      <c r="AC1728">
        <v>2.87</v>
      </c>
      <c r="AD1728">
        <v>3.98</v>
      </c>
      <c r="AE1728">
        <v>2.68</v>
      </c>
      <c r="AF1728">
        <v>3.38</v>
      </c>
      <c r="AG1728" t="str">
        <f>HYPERLINK("https://finance.naver.com/item/fchart.naver?code=032540", "TJ미디어 차트보기")</f>
        <v>TJ미디어 차트보기</v>
      </c>
    </row>
    <row r="1729" spans="1:33" x14ac:dyDescent="0.3">
      <c r="A1729" t="s">
        <v>6943</v>
      </c>
      <c r="B1729" t="s">
        <v>55</v>
      </c>
      <c r="C1729" t="s">
        <v>6944</v>
      </c>
      <c r="D1729">
        <v>47858.9</v>
      </c>
      <c r="E1729" t="s">
        <v>6945</v>
      </c>
      <c r="F1729">
        <v>6.38</v>
      </c>
      <c r="G1729">
        <v>0.239999994635582</v>
      </c>
      <c r="H1729">
        <v>208</v>
      </c>
      <c r="I1729">
        <v>0</v>
      </c>
      <c r="J1729" t="s">
        <v>6946</v>
      </c>
      <c r="K1729">
        <v>1429</v>
      </c>
      <c r="L1729">
        <v>1327</v>
      </c>
      <c r="M1729">
        <v>-7.14</v>
      </c>
      <c r="N1729">
        <v>-4.05</v>
      </c>
      <c r="O1729">
        <v>0.15</v>
      </c>
      <c r="P1729">
        <v>-4.3099999999999996</v>
      </c>
      <c r="Q1729">
        <v>-12.88</v>
      </c>
      <c r="R1729">
        <v>11.15</v>
      </c>
      <c r="S1729">
        <v>-8.1</v>
      </c>
      <c r="T1729">
        <v>1.52</v>
      </c>
      <c r="U1729">
        <v>1.24</v>
      </c>
      <c r="V1729">
        <v>1.9</v>
      </c>
      <c r="W1729">
        <v>3.28</v>
      </c>
      <c r="X1729">
        <v>2.02</v>
      </c>
      <c r="Y1729">
        <v>1.4</v>
      </c>
      <c r="Z1729">
        <v>2.66</v>
      </c>
      <c r="AA1729">
        <v>0.12</v>
      </c>
      <c r="AB1729">
        <v>2.27</v>
      </c>
      <c r="AC1729">
        <v>3.93</v>
      </c>
      <c r="AD1729">
        <v>5.52</v>
      </c>
      <c r="AE1729">
        <v>5.79</v>
      </c>
      <c r="AF1729">
        <v>3.3816666666666659</v>
      </c>
      <c r="AG1729" t="str">
        <f>HYPERLINK("https://finance.naver.com/item/fchart.naver?code=037400", "우리엔터프라이즈 차트보기")</f>
        <v>우리엔터프라이즈 차트보기</v>
      </c>
    </row>
    <row r="1730" spans="1:33" x14ac:dyDescent="0.3">
      <c r="A1730" t="s">
        <v>6947</v>
      </c>
      <c r="B1730" t="s">
        <v>34</v>
      </c>
      <c r="C1730" t="s">
        <v>6948</v>
      </c>
      <c r="D1730">
        <v>173726.24</v>
      </c>
      <c r="E1730" t="s">
        <v>6949</v>
      </c>
      <c r="F1730">
        <v>0</v>
      </c>
      <c r="G1730">
        <v>0.63999998569488525</v>
      </c>
      <c r="H1730">
        <v>0</v>
      </c>
      <c r="I1730">
        <v>0</v>
      </c>
      <c r="J1730" t="s">
        <v>6950</v>
      </c>
      <c r="K1730">
        <v>744</v>
      </c>
      <c r="L1730">
        <v>699</v>
      </c>
      <c r="M1730">
        <v>-6.05</v>
      </c>
      <c r="N1730">
        <v>-6.3</v>
      </c>
      <c r="O1730">
        <v>18.73</v>
      </c>
      <c r="P1730">
        <v>-0.81</v>
      </c>
      <c r="Q1730">
        <v>-8.89</v>
      </c>
      <c r="R1730">
        <v>-1.58</v>
      </c>
      <c r="S1730">
        <v>-4.24</v>
      </c>
      <c r="T1730">
        <v>1.97</v>
      </c>
      <c r="U1730">
        <v>2.5499999999999998</v>
      </c>
      <c r="V1730">
        <v>1.1399999999999999</v>
      </c>
      <c r="W1730">
        <v>2.56</v>
      </c>
      <c r="X1730">
        <v>0.67</v>
      </c>
      <c r="Y1730">
        <v>1.32</v>
      </c>
      <c r="Z1730">
        <v>3.2</v>
      </c>
      <c r="AA1730">
        <v>7.35</v>
      </c>
      <c r="AB1730">
        <v>0.71</v>
      </c>
      <c r="AC1730">
        <v>3.47</v>
      </c>
      <c r="AD1730">
        <v>2.36</v>
      </c>
      <c r="AE1730">
        <v>3.21</v>
      </c>
      <c r="AF1730">
        <v>3.3833333333333342</v>
      </c>
      <c r="AG1730" t="str">
        <f>HYPERLINK("https://finance.naver.com/item/fchart.naver?code=015020", "이스타코 차트보기")</f>
        <v>이스타코 차트보기</v>
      </c>
    </row>
    <row r="1731" spans="1:33" x14ac:dyDescent="0.3">
      <c r="A1731" t="s">
        <v>6951</v>
      </c>
      <c r="B1731" t="s">
        <v>55</v>
      </c>
      <c r="C1731" t="s">
        <v>6952</v>
      </c>
      <c r="D1731">
        <v>727268.48</v>
      </c>
      <c r="E1731" t="s">
        <v>6953</v>
      </c>
      <c r="F1731">
        <v>20.46</v>
      </c>
      <c r="G1731">
        <v>2.0999999046325679</v>
      </c>
      <c r="H1731">
        <v>196</v>
      </c>
      <c r="I1731">
        <v>1.25</v>
      </c>
      <c r="J1731" t="s">
        <v>6954</v>
      </c>
      <c r="K1731">
        <v>3890</v>
      </c>
      <c r="L1731">
        <v>4010</v>
      </c>
      <c r="M1731">
        <v>3.08</v>
      </c>
      <c r="N1731">
        <v>24.53</v>
      </c>
      <c r="O1731">
        <v>-11.87</v>
      </c>
      <c r="P1731">
        <v>-8.3800000000000008</v>
      </c>
      <c r="Q1731">
        <v>-4.04</v>
      </c>
      <c r="R1731">
        <v>13.27</v>
      </c>
      <c r="S1731">
        <v>5.23</v>
      </c>
      <c r="T1731">
        <v>6.09</v>
      </c>
      <c r="U1731">
        <v>2.23</v>
      </c>
      <c r="V1731">
        <v>2.41</v>
      </c>
      <c r="W1731">
        <v>4.45</v>
      </c>
      <c r="X1731">
        <v>3.04</v>
      </c>
      <c r="Y1731">
        <v>2.39</v>
      </c>
      <c r="Z1731">
        <v>4.03</v>
      </c>
      <c r="AA1731">
        <v>5.32</v>
      </c>
      <c r="AB1731">
        <v>3.48</v>
      </c>
      <c r="AC1731">
        <v>0.91</v>
      </c>
      <c r="AD1731">
        <v>4.37</v>
      </c>
      <c r="AE1731">
        <v>2.19</v>
      </c>
      <c r="AF1731">
        <v>3.3833333333333342</v>
      </c>
      <c r="AG1731" t="str">
        <f>HYPERLINK("https://finance.naver.com/item/fchart.naver?code=014940", "오리엔탈정공 차트보기")</f>
        <v>오리엔탈정공 차트보기</v>
      </c>
    </row>
    <row r="1732" spans="1:33" x14ac:dyDescent="0.3">
      <c r="A1732" t="s">
        <v>6955</v>
      </c>
      <c r="B1732" t="s">
        <v>34</v>
      </c>
      <c r="C1732" t="s">
        <v>6956</v>
      </c>
      <c r="D1732">
        <v>1434307.71</v>
      </c>
      <c r="E1732" t="s">
        <v>6957</v>
      </c>
      <c r="F1732">
        <v>9.4499999999999993</v>
      </c>
      <c r="G1732">
        <v>0.62000000476837158</v>
      </c>
      <c r="H1732">
        <v>337</v>
      </c>
      <c r="I1732">
        <v>0.77999997138977051</v>
      </c>
      <c r="J1732" t="s">
        <v>6958</v>
      </c>
      <c r="K1732">
        <v>2475</v>
      </c>
      <c r="L1732">
        <v>3185</v>
      </c>
      <c r="M1732">
        <v>28.69</v>
      </c>
      <c r="N1732">
        <v>3.24</v>
      </c>
      <c r="O1732">
        <v>-15.77</v>
      </c>
      <c r="P1732">
        <v>-2.88</v>
      </c>
      <c r="Q1732">
        <v>17.18</v>
      </c>
      <c r="R1732">
        <v>-5.91</v>
      </c>
      <c r="S1732">
        <v>59.68</v>
      </c>
      <c r="T1732">
        <v>3.06</v>
      </c>
      <c r="U1732">
        <v>2.1800000000000002</v>
      </c>
      <c r="V1732">
        <v>6.23</v>
      </c>
      <c r="W1732">
        <v>5.43</v>
      </c>
      <c r="X1732">
        <v>5.08</v>
      </c>
      <c r="Y1732">
        <v>8.26</v>
      </c>
      <c r="Z1732">
        <v>1.06</v>
      </c>
      <c r="AA1732">
        <v>7.23</v>
      </c>
      <c r="AB1732">
        <v>0.46</v>
      </c>
      <c r="AC1732">
        <v>3.16</v>
      </c>
      <c r="AD1732">
        <v>1.1599999999999999</v>
      </c>
      <c r="AE1732">
        <v>7.23</v>
      </c>
      <c r="AF1732">
        <v>3.3833333333333342</v>
      </c>
      <c r="AG1732" t="str">
        <f>HYPERLINK("https://finance.naver.com/item/fchart.naver?code=001250", "GS글로벌 차트보기")</f>
        <v>GS글로벌 차트보기</v>
      </c>
    </row>
    <row r="1733" spans="1:33" x14ac:dyDescent="0.3">
      <c r="A1733" t="s">
        <v>6959</v>
      </c>
      <c r="B1733" t="s">
        <v>55</v>
      </c>
      <c r="C1733" t="s">
        <v>6960</v>
      </c>
      <c r="D1733">
        <v>99311.67</v>
      </c>
      <c r="E1733" t="s">
        <v>6961</v>
      </c>
      <c r="F1733">
        <v>20.149999999999999</v>
      </c>
      <c r="G1733">
        <v>0.46000000834465032</v>
      </c>
      <c r="H1733">
        <v>101</v>
      </c>
      <c r="I1733">
        <v>4.9099998474121094</v>
      </c>
      <c r="J1733" t="s">
        <v>6962</v>
      </c>
      <c r="K1733">
        <v>2335</v>
      </c>
      <c r="L1733">
        <v>2035</v>
      </c>
      <c r="M1733">
        <v>-12.85</v>
      </c>
      <c r="N1733">
        <v>-1.21</v>
      </c>
      <c r="O1733">
        <v>-3.47</v>
      </c>
      <c r="P1733">
        <v>-36.14</v>
      </c>
      <c r="Q1733">
        <v>48.97</v>
      </c>
      <c r="R1733">
        <v>-1.79</v>
      </c>
      <c r="S1733">
        <v>-1.31</v>
      </c>
      <c r="T1733">
        <v>1.6</v>
      </c>
      <c r="U1733">
        <v>1.74</v>
      </c>
      <c r="V1733">
        <v>4.79</v>
      </c>
      <c r="W1733">
        <v>8.25</v>
      </c>
      <c r="X1733">
        <v>0.71</v>
      </c>
      <c r="Y1733">
        <v>0.84</v>
      </c>
      <c r="Z1733">
        <v>0.76</v>
      </c>
      <c r="AA1733">
        <v>1.99</v>
      </c>
      <c r="AB1733">
        <v>7.54</v>
      </c>
      <c r="AC1733">
        <v>5.94</v>
      </c>
      <c r="AD1733">
        <v>2.52</v>
      </c>
      <c r="AE1733">
        <v>1.56</v>
      </c>
      <c r="AF1733">
        <v>3.3849999999999998</v>
      </c>
      <c r="AG1733" t="str">
        <f>HYPERLINK("https://finance.naver.com/item/fchart.naver?code=075130", "플랜티넷 차트보기")</f>
        <v>플랜티넷 차트보기</v>
      </c>
    </row>
    <row r="1734" spans="1:33" x14ac:dyDescent="0.3">
      <c r="A1734" t="s">
        <v>6963</v>
      </c>
      <c r="B1734" t="s">
        <v>55</v>
      </c>
      <c r="C1734" t="s">
        <v>6964</v>
      </c>
      <c r="D1734">
        <v>395647.67</v>
      </c>
      <c r="E1734" t="s">
        <v>6965</v>
      </c>
      <c r="F1734">
        <v>0</v>
      </c>
      <c r="G1734">
        <v>1.580000042915344</v>
      </c>
      <c r="H1734">
        <v>0</v>
      </c>
      <c r="I1734">
        <v>0</v>
      </c>
      <c r="J1734" t="s">
        <v>6966</v>
      </c>
      <c r="K1734">
        <v>3945</v>
      </c>
      <c r="L1734">
        <v>1573</v>
      </c>
      <c r="M1734">
        <v>-60.13</v>
      </c>
      <c r="N1734">
        <v>-4.1399999999999997</v>
      </c>
      <c r="O1734">
        <v>-8.07</v>
      </c>
      <c r="P1734">
        <v>-1.38</v>
      </c>
      <c r="Q1734">
        <v>-33.72</v>
      </c>
      <c r="R1734">
        <v>-15.5</v>
      </c>
      <c r="S1734">
        <v>-16.55</v>
      </c>
      <c r="T1734">
        <v>3.22</v>
      </c>
      <c r="U1734">
        <v>2.38</v>
      </c>
      <c r="V1734">
        <v>2.29</v>
      </c>
      <c r="W1734">
        <v>5.0999999999999996</v>
      </c>
      <c r="X1734">
        <v>3.2</v>
      </c>
      <c r="Y1734">
        <v>4.62</v>
      </c>
      <c r="Z1734">
        <v>1.29</v>
      </c>
      <c r="AA1734">
        <v>3.39</v>
      </c>
      <c r="AB1734">
        <v>0.6</v>
      </c>
      <c r="AC1734">
        <v>6.61</v>
      </c>
      <c r="AD1734">
        <v>4.84</v>
      </c>
      <c r="AE1734">
        <v>3.58</v>
      </c>
      <c r="AF1734">
        <v>3.3849999999999998</v>
      </c>
      <c r="AG1734" t="str">
        <f>HYPERLINK("https://finance.naver.com/item/fchart.naver?code=226340", "본느 차트보기")</f>
        <v>본느 차트보기</v>
      </c>
    </row>
    <row r="1735" spans="1:33" x14ac:dyDescent="0.3">
      <c r="A1735" t="s">
        <v>6967</v>
      </c>
      <c r="B1735" t="s">
        <v>55</v>
      </c>
      <c r="C1735" t="s">
        <v>6968</v>
      </c>
      <c r="D1735">
        <v>38986.239999999998</v>
      </c>
      <c r="E1735" t="s">
        <v>6969</v>
      </c>
      <c r="F1735">
        <v>16.100000000000001</v>
      </c>
      <c r="G1735">
        <v>2.6400001049041748</v>
      </c>
      <c r="H1735">
        <v>374</v>
      </c>
      <c r="I1735">
        <v>1.25</v>
      </c>
      <c r="J1735" t="s">
        <v>6970</v>
      </c>
      <c r="K1735">
        <v>8700</v>
      </c>
      <c r="L1735">
        <v>6020</v>
      </c>
      <c r="M1735">
        <v>-30.8</v>
      </c>
      <c r="N1735">
        <v>-4.9000000000000004</v>
      </c>
      <c r="O1735">
        <v>-7.57</v>
      </c>
      <c r="P1735">
        <v>-6.13</v>
      </c>
      <c r="Q1735">
        <v>-4.0999999999999996</v>
      </c>
      <c r="R1735">
        <v>2.6</v>
      </c>
      <c r="S1735">
        <v>-7.4</v>
      </c>
      <c r="T1735">
        <v>2.39</v>
      </c>
      <c r="U1735">
        <v>1.27</v>
      </c>
      <c r="V1735">
        <v>2.04</v>
      </c>
      <c r="W1735">
        <v>3.17</v>
      </c>
      <c r="X1735">
        <v>1.3</v>
      </c>
      <c r="Y1735">
        <v>1.23</v>
      </c>
      <c r="Z1735">
        <v>2.0499999999999998</v>
      </c>
      <c r="AA1735">
        <v>5.96</v>
      </c>
      <c r="AB1735">
        <v>3</v>
      </c>
      <c r="AC1735">
        <v>1.29</v>
      </c>
      <c r="AD1735">
        <v>2</v>
      </c>
      <c r="AE1735">
        <v>6.02</v>
      </c>
      <c r="AF1735">
        <v>3.3866666666666672</v>
      </c>
      <c r="AG1735" t="str">
        <f>HYPERLINK("https://finance.naver.com/item/fchart.naver?code=067370", "선바이오 차트보기")</f>
        <v>선바이오 차트보기</v>
      </c>
    </row>
    <row r="1736" spans="1:33" x14ac:dyDescent="0.3">
      <c r="A1736" t="s">
        <v>6971</v>
      </c>
      <c r="B1736" t="s">
        <v>34</v>
      </c>
      <c r="C1736" t="s">
        <v>6972</v>
      </c>
      <c r="D1736">
        <v>201747.52</v>
      </c>
      <c r="E1736" t="s">
        <v>6973</v>
      </c>
      <c r="F1736">
        <v>0</v>
      </c>
      <c r="G1736">
        <v>0.4699999988079071</v>
      </c>
      <c r="H1736">
        <v>0</v>
      </c>
      <c r="I1736">
        <v>2.3499999046325679</v>
      </c>
      <c r="J1736" t="s">
        <v>6974</v>
      </c>
      <c r="K1736">
        <v>10100</v>
      </c>
      <c r="L1736">
        <v>7660</v>
      </c>
      <c r="M1736">
        <v>-24.16</v>
      </c>
      <c r="N1736">
        <v>8.9600000000000009</v>
      </c>
      <c r="O1736">
        <v>-8.18</v>
      </c>
      <c r="P1736">
        <v>1.04</v>
      </c>
      <c r="Q1736">
        <v>-11.57</v>
      </c>
      <c r="R1736">
        <v>-15.67</v>
      </c>
      <c r="S1736">
        <v>9.73</v>
      </c>
      <c r="T1736">
        <v>5.48</v>
      </c>
      <c r="U1736">
        <v>1.55</v>
      </c>
      <c r="V1736">
        <v>1.79</v>
      </c>
      <c r="W1736">
        <v>3.24</v>
      </c>
      <c r="X1736">
        <v>2.25</v>
      </c>
      <c r="Y1736">
        <v>4.24</v>
      </c>
      <c r="Z1736">
        <v>1.64</v>
      </c>
      <c r="AA1736">
        <v>5.28</v>
      </c>
      <c r="AB1736">
        <v>0.57999999999999996</v>
      </c>
      <c r="AC1736">
        <v>3.57</v>
      </c>
      <c r="AD1736">
        <v>6.96</v>
      </c>
      <c r="AE1736">
        <v>2.29</v>
      </c>
      <c r="AF1736">
        <v>3.3866666666666672</v>
      </c>
      <c r="AG1736" t="str">
        <f>HYPERLINK("https://finance.naver.com/item/fchart.naver?code=024720", "콜마홀딩스 차트보기")</f>
        <v>콜마홀딩스 차트보기</v>
      </c>
    </row>
    <row r="1737" spans="1:33" x14ac:dyDescent="0.3">
      <c r="A1737" t="s">
        <v>6975</v>
      </c>
      <c r="B1737" t="s">
        <v>34</v>
      </c>
      <c r="C1737" t="s">
        <v>6976</v>
      </c>
      <c r="D1737">
        <v>109334.1</v>
      </c>
      <c r="E1737" t="s">
        <v>6977</v>
      </c>
      <c r="F1737">
        <v>0</v>
      </c>
      <c r="G1737">
        <v>0.25999999046325678</v>
      </c>
      <c r="H1737">
        <v>0</v>
      </c>
      <c r="I1737">
        <v>0</v>
      </c>
      <c r="J1737" t="s">
        <v>6978</v>
      </c>
      <c r="K1737">
        <v>478</v>
      </c>
      <c r="L1737">
        <v>426</v>
      </c>
      <c r="M1737">
        <v>-10.88</v>
      </c>
      <c r="N1737">
        <v>-2.52</v>
      </c>
      <c r="O1737">
        <v>-2.89</v>
      </c>
      <c r="P1737">
        <v>-0.67</v>
      </c>
      <c r="Q1737">
        <v>-1.29</v>
      </c>
      <c r="R1737">
        <v>11.78</v>
      </c>
      <c r="S1737">
        <v>-11.49</v>
      </c>
      <c r="T1737">
        <v>1.1299999999999999</v>
      </c>
      <c r="U1737">
        <v>1.68</v>
      </c>
      <c r="V1737">
        <v>2.19</v>
      </c>
      <c r="W1737">
        <v>2.79</v>
      </c>
      <c r="X1737">
        <v>1.66</v>
      </c>
      <c r="Y1737">
        <v>1.35</v>
      </c>
      <c r="Z1737">
        <v>2.23</v>
      </c>
      <c r="AA1737">
        <v>1.72</v>
      </c>
      <c r="AB1737">
        <v>0.31</v>
      </c>
      <c r="AC1737">
        <v>0.46</v>
      </c>
      <c r="AD1737">
        <v>7.1</v>
      </c>
      <c r="AE1737">
        <v>8.51</v>
      </c>
      <c r="AF1737">
        <v>3.3883333333333332</v>
      </c>
      <c r="AG1737" t="str">
        <f>HYPERLINK("https://finance.naver.com/item/fchart.naver?code=008600", "윌비스 차트보기")</f>
        <v>윌비스 차트보기</v>
      </c>
    </row>
    <row r="1738" spans="1:33" x14ac:dyDescent="0.3">
      <c r="A1738" t="s">
        <v>6979</v>
      </c>
      <c r="B1738" t="s">
        <v>34</v>
      </c>
      <c r="C1738" t="s">
        <v>6980</v>
      </c>
      <c r="D1738">
        <v>235985.67</v>
      </c>
      <c r="E1738" t="s">
        <v>6981</v>
      </c>
      <c r="F1738">
        <v>8.07</v>
      </c>
      <c r="G1738">
        <v>1.059999942779541</v>
      </c>
      <c r="H1738">
        <v>383</v>
      </c>
      <c r="I1738">
        <v>1.620000004768372</v>
      </c>
      <c r="J1738" t="s">
        <v>6982</v>
      </c>
      <c r="K1738">
        <v>4825</v>
      </c>
      <c r="L1738">
        <v>3090</v>
      </c>
      <c r="M1738">
        <v>-35.96</v>
      </c>
      <c r="N1738">
        <v>-5.21</v>
      </c>
      <c r="O1738">
        <v>-7.04</v>
      </c>
      <c r="P1738">
        <v>-5.51</v>
      </c>
      <c r="Q1738">
        <v>1.41</v>
      </c>
      <c r="R1738">
        <v>-8.42</v>
      </c>
      <c r="S1738">
        <v>-9.36</v>
      </c>
      <c r="T1738">
        <v>1.95</v>
      </c>
      <c r="U1738">
        <v>2.21</v>
      </c>
      <c r="V1738">
        <v>2.2000000000000002</v>
      </c>
      <c r="W1738">
        <v>5.0199999999999996</v>
      </c>
      <c r="X1738">
        <v>1.52</v>
      </c>
      <c r="Y1738">
        <v>1.52</v>
      </c>
      <c r="Z1738">
        <v>2.67</v>
      </c>
      <c r="AA1738">
        <v>3.19</v>
      </c>
      <c r="AB1738">
        <v>2.5</v>
      </c>
      <c r="AC1738">
        <v>0.28000000000000003</v>
      </c>
      <c r="AD1738">
        <v>5.54</v>
      </c>
      <c r="AE1738">
        <v>6.16</v>
      </c>
      <c r="AF1738">
        <v>3.39</v>
      </c>
      <c r="AG1738" t="str">
        <f>HYPERLINK("https://finance.naver.com/item/fchart.naver?code=024900", "덕양산업 차트보기")</f>
        <v>덕양산업 차트보기</v>
      </c>
    </row>
    <row r="1739" spans="1:33" x14ac:dyDescent="0.3">
      <c r="A1739" t="s">
        <v>6983</v>
      </c>
      <c r="B1739" t="s">
        <v>55</v>
      </c>
      <c r="C1739" t="s">
        <v>6984</v>
      </c>
      <c r="D1739">
        <v>14721.95</v>
      </c>
      <c r="E1739" t="s">
        <v>6985</v>
      </c>
      <c r="F1739">
        <v>0</v>
      </c>
      <c r="G1739">
        <v>0.51999998092651367</v>
      </c>
      <c r="H1739">
        <v>0</v>
      </c>
      <c r="I1739">
        <v>0</v>
      </c>
      <c r="J1739" t="s">
        <v>6986</v>
      </c>
      <c r="K1739">
        <v>10700</v>
      </c>
      <c r="L1739">
        <v>6750</v>
      </c>
      <c r="M1739">
        <v>-36.92</v>
      </c>
      <c r="N1739">
        <v>-4.12</v>
      </c>
      <c r="O1739">
        <v>-4.1900000000000004</v>
      </c>
      <c r="P1739">
        <v>-0.27</v>
      </c>
      <c r="Q1739">
        <v>-14.12</v>
      </c>
      <c r="R1739">
        <v>-6.86</v>
      </c>
      <c r="S1739">
        <v>-11.85</v>
      </c>
      <c r="T1739">
        <v>1.24</v>
      </c>
      <c r="U1739">
        <v>1.1200000000000001</v>
      </c>
      <c r="V1739">
        <v>2.04</v>
      </c>
      <c r="W1739">
        <v>4.47</v>
      </c>
      <c r="X1739">
        <v>2.08</v>
      </c>
      <c r="Y1739">
        <v>1.77</v>
      </c>
      <c r="Z1739">
        <v>3.32</v>
      </c>
      <c r="AA1739">
        <v>3.74</v>
      </c>
      <c r="AB1739">
        <v>0.13</v>
      </c>
      <c r="AC1739">
        <v>3.16</v>
      </c>
      <c r="AD1739">
        <v>3.3</v>
      </c>
      <c r="AE1739">
        <v>6.69</v>
      </c>
      <c r="AF1739">
        <v>3.390000000000001</v>
      </c>
      <c r="AG1739" t="str">
        <f>HYPERLINK("https://finance.naver.com/item/fchart.naver?code=087600", "픽셀플러스 차트보기")</f>
        <v>픽셀플러스 차트보기</v>
      </c>
    </row>
    <row r="1740" spans="1:33" x14ac:dyDescent="0.3">
      <c r="A1740" t="s">
        <v>6987</v>
      </c>
      <c r="B1740" t="s">
        <v>55</v>
      </c>
      <c r="C1740" t="s">
        <v>6988</v>
      </c>
      <c r="D1740">
        <v>15339.76</v>
      </c>
      <c r="E1740" t="s">
        <v>6989</v>
      </c>
      <c r="F1740">
        <v>4.0199999999999996</v>
      </c>
      <c r="G1740">
        <v>0.74000000953674316</v>
      </c>
      <c r="H1740">
        <v>193</v>
      </c>
      <c r="I1740">
        <v>0</v>
      </c>
      <c r="J1740" t="s">
        <v>6990</v>
      </c>
      <c r="K1740">
        <v>1110</v>
      </c>
      <c r="L1740">
        <v>776</v>
      </c>
      <c r="M1740">
        <v>-30.09</v>
      </c>
      <c r="N1740">
        <v>-2.88</v>
      </c>
      <c r="O1740">
        <v>-1.1200000000000001</v>
      </c>
      <c r="P1740">
        <v>1.75</v>
      </c>
      <c r="Q1740">
        <v>-6.38</v>
      </c>
      <c r="R1740">
        <v>-5.07</v>
      </c>
      <c r="S1740">
        <v>-11.01</v>
      </c>
      <c r="T1740">
        <v>0.93</v>
      </c>
      <c r="U1740">
        <v>1.35</v>
      </c>
      <c r="V1740">
        <v>1.0900000000000001</v>
      </c>
      <c r="W1740">
        <v>3.34</v>
      </c>
      <c r="X1740">
        <v>1.26</v>
      </c>
      <c r="Y1740">
        <v>1.24</v>
      </c>
      <c r="Z1740">
        <v>3.1</v>
      </c>
      <c r="AA1740">
        <v>0.83</v>
      </c>
      <c r="AB1740">
        <v>1.61</v>
      </c>
      <c r="AC1740">
        <v>1.91</v>
      </c>
      <c r="AD1740">
        <v>4.0199999999999996</v>
      </c>
      <c r="AE1740">
        <v>8.8800000000000008</v>
      </c>
      <c r="AF1740">
        <v>3.3916666666666671</v>
      </c>
      <c r="AG1740" t="str">
        <f>HYPERLINK("https://finance.naver.com/item/fchart.naver?code=056730", "CNT85 차트보기")</f>
        <v>CNT85 차트보기</v>
      </c>
    </row>
    <row r="1741" spans="1:33" x14ac:dyDescent="0.3">
      <c r="A1741" t="s">
        <v>6991</v>
      </c>
      <c r="B1741" t="s">
        <v>55</v>
      </c>
      <c r="C1741" t="s">
        <v>6992</v>
      </c>
      <c r="D1741">
        <v>32010.48</v>
      </c>
      <c r="E1741" t="s">
        <v>6993</v>
      </c>
      <c r="F1741">
        <v>12.69</v>
      </c>
      <c r="G1741">
        <v>2.2000000476837158</v>
      </c>
      <c r="H1741">
        <v>442</v>
      </c>
      <c r="I1741">
        <v>0</v>
      </c>
      <c r="J1741" t="s">
        <v>6994</v>
      </c>
      <c r="K1741">
        <v>5570</v>
      </c>
      <c r="L1741">
        <v>5610</v>
      </c>
      <c r="M1741">
        <v>0.72</v>
      </c>
      <c r="N1741">
        <v>1.08</v>
      </c>
      <c r="O1741">
        <v>6.45</v>
      </c>
      <c r="P1741">
        <v>5.52</v>
      </c>
      <c r="Q1741">
        <v>-6.82</v>
      </c>
      <c r="R1741">
        <v>-6.29</v>
      </c>
      <c r="S1741">
        <v>-11.74</v>
      </c>
      <c r="T1741">
        <v>2.36</v>
      </c>
      <c r="U1741">
        <v>1.65</v>
      </c>
      <c r="V1741">
        <v>1.5</v>
      </c>
      <c r="W1741">
        <v>3.05</v>
      </c>
      <c r="X1741">
        <v>1.29</v>
      </c>
      <c r="Y1741">
        <v>2.2599999999999998</v>
      </c>
      <c r="Z1741">
        <v>0.46</v>
      </c>
      <c r="AA1741">
        <v>3.91</v>
      </c>
      <c r="AB1741">
        <v>3.68</v>
      </c>
      <c r="AC1741">
        <v>2.2400000000000002</v>
      </c>
      <c r="AD1741">
        <v>4.88</v>
      </c>
      <c r="AE1741">
        <v>5.19</v>
      </c>
      <c r="AF1741">
        <v>3.393333333333334</v>
      </c>
      <c r="AG1741" t="str">
        <f>HYPERLINK("https://finance.naver.com/item/fchart.naver?code=045340", "토탈소프트 차트보기")</f>
        <v>토탈소프트 차트보기</v>
      </c>
    </row>
    <row r="1742" spans="1:33" x14ac:dyDescent="0.3">
      <c r="A1742" t="s">
        <v>6995</v>
      </c>
      <c r="B1742" t="s">
        <v>34</v>
      </c>
      <c r="C1742" t="s">
        <v>6996</v>
      </c>
      <c r="D1742">
        <v>594067.62</v>
      </c>
      <c r="E1742" t="s">
        <v>6997</v>
      </c>
      <c r="F1742">
        <v>0</v>
      </c>
      <c r="G1742">
        <v>1.470000028610229</v>
      </c>
      <c r="H1742">
        <v>0</v>
      </c>
      <c r="I1742">
        <v>0</v>
      </c>
      <c r="J1742" t="s">
        <v>6998</v>
      </c>
      <c r="K1742">
        <v>2935</v>
      </c>
      <c r="L1742">
        <v>2225</v>
      </c>
      <c r="M1742">
        <v>-24.19</v>
      </c>
      <c r="N1742">
        <v>-7.68</v>
      </c>
      <c r="O1742">
        <v>14.77</v>
      </c>
      <c r="P1742">
        <v>0.71</v>
      </c>
      <c r="Q1742">
        <v>-14.31</v>
      </c>
      <c r="R1742">
        <v>-5.21</v>
      </c>
      <c r="S1742">
        <v>-8.61</v>
      </c>
      <c r="T1742">
        <v>5.33</v>
      </c>
      <c r="U1742">
        <v>2.81</v>
      </c>
      <c r="V1742">
        <v>2.25</v>
      </c>
      <c r="W1742">
        <v>4.05</v>
      </c>
      <c r="X1742">
        <v>3.04</v>
      </c>
      <c r="Y1742">
        <v>1.06</v>
      </c>
      <c r="Z1742">
        <v>1.44</v>
      </c>
      <c r="AA1742">
        <v>5.26</v>
      </c>
      <c r="AB1742">
        <v>0.32</v>
      </c>
      <c r="AC1742">
        <v>3.53</v>
      </c>
      <c r="AD1742">
        <v>1.71</v>
      </c>
      <c r="AE1742">
        <v>8.1199999999999992</v>
      </c>
      <c r="AF1742">
        <v>3.3966666666666661</v>
      </c>
      <c r="AG1742" t="str">
        <f>HYPERLINK("https://finance.naver.com/item/fchart.naver?code=047400", "유니온머티리얼 차트보기")</f>
        <v>유니온머티리얼 차트보기</v>
      </c>
    </row>
    <row r="1743" spans="1:33" x14ac:dyDescent="0.3">
      <c r="A1743" t="s">
        <v>6999</v>
      </c>
      <c r="B1743" t="s">
        <v>55</v>
      </c>
      <c r="C1743" t="s">
        <v>7000</v>
      </c>
      <c r="D1743">
        <v>442620.38</v>
      </c>
      <c r="E1743" t="s">
        <v>7001</v>
      </c>
      <c r="F1743">
        <v>0</v>
      </c>
      <c r="G1743">
        <v>0.76999998092651367</v>
      </c>
      <c r="H1743">
        <v>0</v>
      </c>
      <c r="I1743">
        <v>0</v>
      </c>
      <c r="J1743" t="s">
        <v>7002</v>
      </c>
      <c r="K1743">
        <v>2170</v>
      </c>
      <c r="L1743">
        <v>2080</v>
      </c>
      <c r="M1743">
        <v>-4.1500000000000004</v>
      </c>
      <c r="N1743">
        <v>-2.35</v>
      </c>
      <c r="O1743">
        <v>-8.33</v>
      </c>
      <c r="P1743">
        <v>3.83</v>
      </c>
      <c r="Q1743">
        <v>26.52</v>
      </c>
      <c r="R1743">
        <v>2.1</v>
      </c>
      <c r="S1743">
        <v>-7.1</v>
      </c>
      <c r="T1743">
        <v>0.5</v>
      </c>
      <c r="U1743">
        <v>2.73</v>
      </c>
      <c r="V1743">
        <v>3.46</v>
      </c>
      <c r="W1743">
        <v>4.42</v>
      </c>
      <c r="X1743">
        <v>1.7</v>
      </c>
      <c r="Y1743">
        <v>1.66</v>
      </c>
      <c r="Z1743">
        <v>4.7</v>
      </c>
      <c r="AA1743">
        <v>3.05</v>
      </c>
      <c r="AB1743">
        <v>1.1100000000000001</v>
      </c>
      <c r="AC1743">
        <v>6</v>
      </c>
      <c r="AD1743">
        <v>1.24</v>
      </c>
      <c r="AE1743">
        <v>4.28</v>
      </c>
      <c r="AF1743">
        <v>3.3966666666666669</v>
      </c>
      <c r="AG1743" t="str">
        <f>HYPERLINK("https://finance.naver.com/item/fchart.naver?code=377220", "프롬바이오 차트보기")</f>
        <v>프롬바이오 차트보기</v>
      </c>
    </row>
    <row r="1744" spans="1:33" x14ac:dyDescent="0.3">
      <c r="A1744" t="s">
        <v>7003</v>
      </c>
      <c r="B1744" t="s">
        <v>55</v>
      </c>
      <c r="C1744" t="s">
        <v>7004</v>
      </c>
      <c r="D1744">
        <v>442684.24</v>
      </c>
      <c r="E1744" t="s">
        <v>7005</v>
      </c>
      <c r="F1744">
        <v>9.6</v>
      </c>
      <c r="G1744">
        <v>0.79000002145767212</v>
      </c>
      <c r="H1744">
        <v>141</v>
      </c>
      <c r="I1744">
        <v>0</v>
      </c>
      <c r="J1744" t="s">
        <v>7006</v>
      </c>
      <c r="K1744">
        <v>1779</v>
      </c>
      <c r="L1744">
        <v>1353</v>
      </c>
      <c r="M1744">
        <v>-23.95</v>
      </c>
      <c r="N1744">
        <v>2.19</v>
      </c>
      <c r="O1744">
        <v>5.64</v>
      </c>
      <c r="P1744">
        <v>-3.66</v>
      </c>
      <c r="Q1744">
        <v>-1.85</v>
      </c>
      <c r="R1744">
        <v>-6.83</v>
      </c>
      <c r="S1744">
        <v>-12.12</v>
      </c>
      <c r="T1744">
        <v>2.0699999999999998</v>
      </c>
      <c r="U1744">
        <v>1.96</v>
      </c>
      <c r="V1744">
        <v>2.04</v>
      </c>
      <c r="W1744">
        <v>4.54</v>
      </c>
      <c r="X1744">
        <v>1.61</v>
      </c>
      <c r="Y1744">
        <v>1.21</v>
      </c>
      <c r="Z1744">
        <v>1.06</v>
      </c>
      <c r="AA1744">
        <v>2.88</v>
      </c>
      <c r="AB1744">
        <v>1.79</v>
      </c>
      <c r="AC1744">
        <v>0.41</v>
      </c>
      <c r="AD1744">
        <v>4.24</v>
      </c>
      <c r="AE1744">
        <v>10.02</v>
      </c>
      <c r="AF1744">
        <v>3.4</v>
      </c>
      <c r="AG1744" t="str">
        <f>HYPERLINK("https://finance.naver.com/item/fchart.naver?code=065440", "이루온 차트보기")</f>
        <v>이루온 차트보기</v>
      </c>
    </row>
    <row r="1745" spans="1:33" x14ac:dyDescent="0.3">
      <c r="A1745" t="s">
        <v>7007</v>
      </c>
      <c r="B1745" t="s">
        <v>55</v>
      </c>
      <c r="C1745" t="s">
        <v>7008</v>
      </c>
      <c r="D1745">
        <v>79583.86</v>
      </c>
      <c r="E1745" t="s">
        <v>7009</v>
      </c>
      <c r="F1745">
        <v>9.06</v>
      </c>
      <c r="G1745">
        <v>0.93999999761581421</v>
      </c>
      <c r="H1745">
        <v>389</v>
      </c>
      <c r="I1745">
        <v>0</v>
      </c>
      <c r="J1745" t="s">
        <v>7010</v>
      </c>
      <c r="K1745">
        <v>7020</v>
      </c>
      <c r="L1745">
        <v>3525</v>
      </c>
      <c r="M1745">
        <v>-49.79</v>
      </c>
      <c r="N1745">
        <v>-10.19</v>
      </c>
      <c r="O1745">
        <v>1.01</v>
      </c>
      <c r="P1745">
        <v>-2.46</v>
      </c>
      <c r="Q1745">
        <v>-11.85</v>
      </c>
      <c r="R1745">
        <v>-12.68</v>
      </c>
      <c r="S1745">
        <v>-12.37</v>
      </c>
      <c r="T1745">
        <v>1.52</v>
      </c>
      <c r="U1745">
        <v>1.89</v>
      </c>
      <c r="V1745">
        <v>3.42</v>
      </c>
      <c r="W1745">
        <v>5.37</v>
      </c>
      <c r="X1745">
        <v>2.1800000000000002</v>
      </c>
      <c r="Y1745">
        <v>2.8</v>
      </c>
      <c r="Z1745">
        <v>6.7</v>
      </c>
      <c r="AA1745">
        <v>0.53</v>
      </c>
      <c r="AB1745">
        <v>0.72</v>
      </c>
      <c r="AC1745">
        <v>2.21</v>
      </c>
      <c r="AD1745">
        <v>5.82</v>
      </c>
      <c r="AE1745">
        <v>4.42</v>
      </c>
      <c r="AF1745">
        <v>3.4</v>
      </c>
      <c r="AG1745" t="str">
        <f>HYPERLINK("https://finance.naver.com/item/fchart.naver?code=318020", "포인트모바일 차트보기")</f>
        <v>포인트모바일 차트보기</v>
      </c>
    </row>
    <row r="1746" spans="1:33" x14ac:dyDescent="0.3">
      <c r="A1746" t="s">
        <v>7011</v>
      </c>
      <c r="B1746" t="s">
        <v>55</v>
      </c>
      <c r="C1746" t="s">
        <v>7012</v>
      </c>
      <c r="D1746">
        <v>4432779</v>
      </c>
      <c r="E1746" t="s">
        <v>7013</v>
      </c>
      <c r="F1746">
        <v>0</v>
      </c>
      <c r="G1746">
        <v>4.4699997901916504</v>
      </c>
      <c r="H1746">
        <v>0</v>
      </c>
      <c r="I1746">
        <v>0</v>
      </c>
      <c r="J1746" t="s">
        <v>7014</v>
      </c>
      <c r="K1746">
        <v>3640</v>
      </c>
      <c r="L1746">
        <v>3080</v>
      </c>
      <c r="M1746">
        <v>-15.38</v>
      </c>
      <c r="N1746">
        <v>3.01</v>
      </c>
      <c r="O1746">
        <v>-5.78</v>
      </c>
      <c r="P1746">
        <v>28.31</v>
      </c>
      <c r="Q1746">
        <v>-18.7</v>
      </c>
      <c r="R1746">
        <v>-9.18</v>
      </c>
      <c r="S1746">
        <v>-6.36</v>
      </c>
      <c r="T1746">
        <v>2.56</v>
      </c>
      <c r="U1746">
        <v>6.12</v>
      </c>
      <c r="V1746">
        <v>7.91</v>
      </c>
      <c r="W1746">
        <v>3.8</v>
      </c>
      <c r="X1746">
        <v>1.51</v>
      </c>
      <c r="Y1746">
        <v>1.72</v>
      </c>
      <c r="Z1746">
        <v>1.18</v>
      </c>
      <c r="AA1746">
        <v>0.94</v>
      </c>
      <c r="AB1746">
        <v>3.58</v>
      </c>
      <c r="AC1746">
        <v>4.92</v>
      </c>
      <c r="AD1746">
        <v>6.08</v>
      </c>
      <c r="AE1746">
        <v>3.7</v>
      </c>
      <c r="AF1746">
        <v>3.4</v>
      </c>
      <c r="AG1746" t="str">
        <f>HYPERLINK("https://finance.naver.com/item/fchart.naver?code=250060", "모비스 차트보기")</f>
        <v>모비스 차트보기</v>
      </c>
    </row>
    <row r="1747" spans="1:33" x14ac:dyDescent="0.3">
      <c r="A1747" t="s">
        <v>7015</v>
      </c>
      <c r="B1747" t="s">
        <v>55</v>
      </c>
      <c r="C1747" t="s">
        <v>7016</v>
      </c>
      <c r="D1747">
        <v>43497.33</v>
      </c>
      <c r="E1747" t="s">
        <v>7017</v>
      </c>
      <c r="F1747">
        <v>0</v>
      </c>
      <c r="G1747">
        <v>0.68000000715255737</v>
      </c>
      <c r="H1747">
        <v>0</v>
      </c>
      <c r="I1747">
        <v>0</v>
      </c>
      <c r="J1747" t="s">
        <v>7018</v>
      </c>
      <c r="K1747">
        <v>1547</v>
      </c>
      <c r="L1747">
        <v>1071</v>
      </c>
      <c r="M1747">
        <v>-30.77</v>
      </c>
      <c r="N1747">
        <v>-6.46</v>
      </c>
      <c r="O1747">
        <v>-4.41</v>
      </c>
      <c r="P1747">
        <v>-0.56999999999999995</v>
      </c>
      <c r="Q1747">
        <v>-17.11</v>
      </c>
      <c r="R1747">
        <v>7.5</v>
      </c>
      <c r="S1747">
        <v>-8.3800000000000008</v>
      </c>
      <c r="T1747">
        <v>1.0900000000000001</v>
      </c>
      <c r="U1747">
        <v>1.38</v>
      </c>
      <c r="V1747">
        <v>1.25</v>
      </c>
      <c r="W1747">
        <v>3.27</v>
      </c>
      <c r="X1747">
        <v>3.32</v>
      </c>
      <c r="Y1747">
        <v>2.52</v>
      </c>
      <c r="Z1747">
        <v>5.93</v>
      </c>
      <c r="AA1747">
        <v>3.2</v>
      </c>
      <c r="AB1747">
        <v>0.46</v>
      </c>
      <c r="AC1747">
        <v>5.23</v>
      </c>
      <c r="AD1747">
        <v>2.2599999999999998</v>
      </c>
      <c r="AE1747">
        <v>3.33</v>
      </c>
      <c r="AF1747">
        <v>3.401666666666666</v>
      </c>
      <c r="AG1747" t="str">
        <f>HYPERLINK("https://finance.naver.com/item/fchart.naver?code=076610", "해성옵틱스 차트보기")</f>
        <v>해성옵틱스 차트보기</v>
      </c>
    </row>
    <row r="1748" spans="1:33" x14ac:dyDescent="0.3">
      <c r="A1748" t="s">
        <v>7019</v>
      </c>
      <c r="B1748" t="s">
        <v>55</v>
      </c>
      <c r="C1748" t="s">
        <v>7020</v>
      </c>
      <c r="D1748">
        <v>253032.86</v>
      </c>
      <c r="E1748" t="s">
        <v>7021</v>
      </c>
      <c r="F1748">
        <v>0</v>
      </c>
      <c r="G1748">
        <v>4.9000000953674316</v>
      </c>
      <c r="H1748">
        <v>0</v>
      </c>
      <c r="I1748">
        <v>0</v>
      </c>
      <c r="J1748" t="s">
        <v>7022</v>
      </c>
      <c r="K1748">
        <v>54500</v>
      </c>
      <c r="L1748">
        <v>40150</v>
      </c>
      <c r="M1748">
        <v>-26.33</v>
      </c>
      <c r="N1748">
        <v>-0.62</v>
      </c>
      <c r="O1748">
        <v>-8.93</v>
      </c>
      <c r="P1748">
        <v>2.2599999999999998</v>
      </c>
      <c r="Q1748">
        <v>10.67</v>
      </c>
      <c r="R1748">
        <v>-18.96</v>
      </c>
      <c r="S1748">
        <v>-15.31</v>
      </c>
      <c r="T1748">
        <v>1.76</v>
      </c>
      <c r="U1748">
        <v>2.2200000000000002</v>
      </c>
      <c r="V1748">
        <v>4.8600000000000003</v>
      </c>
      <c r="W1748">
        <v>6.19</v>
      </c>
      <c r="X1748">
        <v>3</v>
      </c>
      <c r="Y1748">
        <v>2.0299999999999998</v>
      </c>
      <c r="Z1748">
        <v>0.35</v>
      </c>
      <c r="AA1748">
        <v>4.0199999999999996</v>
      </c>
      <c r="AB1748">
        <v>0.47</v>
      </c>
      <c r="AC1748">
        <v>1.72</v>
      </c>
      <c r="AD1748">
        <v>6.32</v>
      </c>
      <c r="AE1748">
        <v>7.54</v>
      </c>
      <c r="AF1748">
        <v>3.4033333333333329</v>
      </c>
      <c r="AG1748" t="str">
        <f>HYPERLINK("https://finance.naver.com/item/fchart.naver?code=328130", "루닛 차트보기")</f>
        <v>루닛 차트보기</v>
      </c>
    </row>
    <row r="1749" spans="1:33" x14ac:dyDescent="0.3">
      <c r="A1749" t="s">
        <v>7023</v>
      </c>
      <c r="B1749" t="s">
        <v>55</v>
      </c>
      <c r="C1749" t="s">
        <v>7024</v>
      </c>
      <c r="D1749">
        <v>606844.1</v>
      </c>
      <c r="E1749" t="s">
        <v>7025</v>
      </c>
      <c r="F1749">
        <v>4.91</v>
      </c>
      <c r="G1749">
        <v>0.64999997615814209</v>
      </c>
      <c r="H1749">
        <v>287</v>
      </c>
      <c r="I1749">
        <v>2.9800000190734859</v>
      </c>
      <c r="J1749" t="s">
        <v>7026</v>
      </c>
      <c r="K1749">
        <v>1774</v>
      </c>
      <c r="L1749">
        <v>1410</v>
      </c>
      <c r="M1749">
        <v>-20.52</v>
      </c>
      <c r="N1749">
        <v>-2.56</v>
      </c>
      <c r="O1749">
        <v>1.05</v>
      </c>
      <c r="P1749">
        <v>1.98</v>
      </c>
      <c r="Q1749">
        <v>-5.92</v>
      </c>
      <c r="R1749">
        <v>-6.32</v>
      </c>
      <c r="S1749">
        <v>-5.6</v>
      </c>
      <c r="T1749">
        <v>0.91</v>
      </c>
      <c r="U1749">
        <v>2.57</v>
      </c>
      <c r="V1749">
        <v>1.05</v>
      </c>
      <c r="W1749">
        <v>2.82</v>
      </c>
      <c r="X1749">
        <v>0.77</v>
      </c>
      <c r="Y1749">
        <v>1.1200000000000001</v>
      </c>
      <c r="Z1749">
        <v>2.81</v>
      </c>
      <c r="AA1749">
        <v>0.41</v>
      </c>
      <c r="AB1749">
        <v>1.89</v>
      </c>
      <c r="AC1749">
        <v>2.1</v>
      </c>
      <c r="AD1749">
        <v>8.2100000000000009</v>
      </c>
      <c r="AE1749">
        <v>5</v>
      </c>
      <c r="AF1749">
        <v>3.4033333333333342</v>
      </c>
      <c r="AG1749" t="str">
        <f>HYPERLINK("https://finance.naver.com/item/fchart.naver?code=003310", "대주산업 차트보기")</f>
        <v>대주산업 차트보기</v>
      </c>
    </row>
    <row r="1750" spans="1:33" x14ac:dyDescent="0.3">
      <c r="A1750" t="s">
        <v>7027</v>
      </c>
      <c r="B1750" t="s">
        <v>34</v>
      </c>
      <c r="C1750" t="s">
        <v>7028</v>
      </c>
      <c r="D1750">
        <v>12914.57</v>
      </c>
      <c r="E1750" t="s">
        <v>7029</v>
      </c>
      <c r="F1750">
        <v>6.24</v>
      </c>
      <c r="G1750">
        <v>0.2800000011920929</v>
      </c>
      <c r="H1750">
        <v>604</v>
      </c>
      <c r="I1750">
        <v>3.9800000190734859</v>
      </c>
      <c r="J1750" t="s">
        <v>7030</v>
      </c>
      <c r="K1750">
        <v>4315</v>
      </c>
      <c r="L1750">
        <v>3770</v>
      </c>
      <c r="M1750">
        <v>-12.63</v>
      </c>
      <c r="N1750">
        <v>-2.58</v>
      </c>
      <c r="O1750">
        <v>-2.27</v>
      </c>
      <c r="P1750">
        <v>-0.38</v>
      </c>
      <c r="Q1750">
        <v>-5.21</v>
      </c>
      <c r="R1750">
        <v>-6.97</v>
      </c>
      <c r="S1750">
        <v>2.27</v>
      </c>
      <c r="T1750">
        <v>1.22</v>
      </c>
      <c r="U1750">
        <v>0.78</v>
      </c>
      <c r="V1750">
        <v>1.31</v>
      </c>
      <c r="W1750">
        <v>1.65</v>
      </c>
      <c r="X1750">
        <v>0.8</v>
      </c>
      <c r="Y1750">
        <v>0.7</v>
      </c>
      <c r="Z1750">
        <v>2.11</v>
      </c>
      <c r="AA1750">
        <v>2.91</v>
      </c>
      <c r="AB1750">
        <v>0.28999999999999998</v>
      </c>
      <c r="AC1750">
        <v>3.16</v>
      </c>
      <c r="AD1750">
        <v>8.7100000000000009</v>
      </c>
      <c r="AE1750">
        <v>3.24</v>
      </c>
      <c r="AF1750">
        <v>3.4033333333333342</v>
      </c>
      <c r="AG1750" t="str">
        <f>HYPERLINK("https://finance.naver.com/item/fchart.naver?code=013870", "지엠비코리아 차트보기")</f>
        <v>지엠비코리아 차트보기</v>
      </c>
    </row>
    <row r="1751" spans="1:33" x14ac:dyDescent="0.3">
      <c r="A1751" t="s">
        <v>7031</v>
      </c>
      <c r="B1751" t="s">
        <v>55</v>
      </c>
      <c r="C1751" t="s">
        <v>7032</v>
      </c>
      <c r="D1751">
        <v>1181440.29</v>
      </c>
      <c r="E1751" t="s">
        <v>7033</v>
      </c>
      <c r="F1751">
        <v>57.9</v>
      </c>
      <c r="G1751">
        <v>2.6099998950958252</v>
      </c>
      <c r="H1751">
        <v>69</v>
      </c>
      <c r="I1751">
        <v>0.34999999403953552</v>
      </c>
      <c r="J1751" t="s">
        <v>7034</v>
      </c>
      <c r="K1751">
        <v>4420</v>
      </c>
      <c r="L1751">
        <v>3995</v>
      </c>
      <c r="M1751">
        <v>-9.6199999999999992</v>
      </c>
      <c r="N1751">
        <v>6.11</v>
      </c>
      <c r="O1751">
        <v>13.21</v>
      </c>
      <c r="P1751">
        <v>-5.01</v>
      </c>
      <c r="Q1751">
        <v>-15.52</v>
      </c>
      <c r="R1751">
        <v>-7.92</v>
      </c>
      <c r="S1751">
        <v>-12.67</v>
      </c>
      <c r="T1751">
        <v>4.63</v>
      </c>
      <c r="U1751">
        <v>5.66</v>
      </c>
      <c r="V1751">
        <v>2.77</v>
      </c>
      <c r="W1751">
        <v>5.44</v>
      </c>
      <c r="X1751">
        <v>1.61</v>
      </c>
      <c r="Y1751">
        <v>1.76</v>
      </c>
      <c r="Z1751">
        <v>1.32</v>
      </c>
      <c r="AA1751">
        <v>2.33</v>
      </c>
      <c r="AB1751">
        <v>1.81</v>
      </c>
      <c r="AC1751">
        <v>2.85</v>
      </c>
      <c r="AD1751">
        <v>4.92</v>
      </c>
      <c r="AE1751">
        <v>7.2</v>
      </c>
      <c r="AF1751">
        <v>3.4049999999999998</v>
      </c>
      <c r="AG1751" t="str">
        <f>HYPERLINK("https://finance.naver.com/item/fchart.naver?code=215100", "로보로보 차트보기")</f>
        <v>로보로보 차트보기</v>
      </c>
    </row>
    <row r="1752" spans="1:33" x14ac:dyDescent="0.3">
      <c r="A1752" t="s">
        <v>7035</v>
      </c>
      <c r="B1752" t="s">
        <v>55</v>
      </c>
      <c r="C1752" t="s">
        <v>7036</v>
      </c>
      <c r="D1752">
        <v>1736114.76</v>
      </c>
      <c r="E1752" t="s">
        <v>7037</v>
      </c>
      <c r="F1752">
        <v>0</v>
      </c>
      <c r="G1752">
        <v>1.7300000190734861</v>
      </c>
      <c r="H1752">
        <v>0</v>
      </c>
      <c r="I1752">
        <v>0</v>
      </c>
      <c r="J1752" t="s">
        <v>7038</v>
      </c>
      <c r="K1752">
        <v>3384</v>
      </c>
      <c r="L1752">
        <v>4620</v>
      </c>
      <c r="M1752">
        <v>36.520000000000003</v>
      </c>
      <c r="N1752">
        <v>8.07</v>
      </c>
      <c r="O1752">
        <v>-20.27</v>
      </c>
      <c r="P1752">
        <v>-3.54</v>
      </c>
      <c r="Q1752">
        <v>31.08</v>
      </c>
      <c r="R1752">
        <v>113.96</v>
      </c>
      <c r="S1752">
        <v>-19.61</v>
      </c>
      <c r="T1752">
        <v>9.01</v>
      </c>
      <c r="U1752">
        <v>4.6100000000000003</v>
      </c>
      <c r="V1752">
        <v>8.89</v>
      </c>
      <c r="W1752">
        <v>15.41</v>
      </c>
      <c r="X1752">
        <v>12.49</v>
      </c>
      <c r="Y1752">
        <v>5.47</v>
      </c>
      <c r="Z1752">
        <v>0.9</v>
      </c>
      <c r="AA1752">
        <v>4.4000000000000004</v>
      </c>
      <c r="AB1752">
        <v>0.4</v>
      </c>
      <c r="AC1752">
        <v>2.02</v>
      </c>
      <c r="AD1752">
        <v>9.1199999999999992</v>
      </c>
      <c r="AE1752">
        <v>3.59</v>
      </c>
      <c r="AF1752">
        <v>3.4049999999999998</v>
      </c>
      <c r="AG1752" t="str">
        <f>HYPERLINK("https://finance.naver.com/item/fchart.naver?code=299660", "셀리드 차트보기")</f>
        <v>셀리드 차트보기</v>
      </c>
    </row>
    <row r="1753" spans="1:33" x14ac:dyDescent="0.3">
      <c r="A1753" t="s">
        <v>7039</v>
      </c>
      <c r="B1753" t="s">
        <v>55</v>
      </c>
      <c r="C1753" t="s">
        <v>7040</v>
      </c>
      <c r="D1753">
        <v>529633.48</v>
      </c>
      <c r="E1753" t="s">
        <v>7041</v>
      </c>
      <c r="F1753">
        <v>0</v>
      </c>
      <c r="G1753">
        <v>1.690000057220459</v>
      </c>
      <c r="H1753">
        <v>0</v>
      </c>
      <c r="I1753">
        <v>0</v>
      </c>
      <c r="J1753" t="s">
        <v>7042</v>
      </c>
      <c r="K1753">
        <v>232</v>
      </c>
      <c r="L1753">
        <v>232</v>
      </c>
      <c r="M1753">
        <v>0</v>
      </c>
      <c r="N1753">
        <v>-7.94</v>
      </c>
      <c r="O1753">
        <v>-10.210000000000001</v>
      </c>
      <c r="P1753">
        <v>12.7</v>
      </c>
      <c r="Q1753">
        <v>-8.33</v>
      </c>
      <c r="R1753">
        <v>32.979999999999997</v>
      </c>
      <c r="S1753">
        <v>-9</v>
      </c>
      <c r="T1753">
        <v>3.48</v>
      </c>
      <c r="U1753">
        <v>2.13</v>
      </c>
      <c r="V1753">
        <v>8.5</v>
      </c>
      <c r="W1753">
        <v>7.59</v>
      </c>
      <c r="X1753">
        <v>8.82</v>
      </c>
      <c r="Y1753">
        <v>1.28</v>
      </c>
      <c r="Z1753">
        <v>2.2799999999999998</v>
      </c>
      <c r="AA1753">
        <v>4.79</v>
      </c>
      <c r="AB1753">
        <v>1.49</v>
      </c>
      <c r="AC1753">
        <v>1.1000000000000001</v>
      </c>
      <c r="AD1753">
        <v>3.74</v>
      </c>
      <c r="AE1753">
        <v>7.03</v>
      </c>
      <c r="AF1753">
        <v>3.4049999999999998</v>
      </c>
      <c r="AG1753" t="str">
        <f>HYPERLINK("https://finance.naver.com/item/fchart.naver?code=065420", "에스아이리소스 차트보기")</f>
        <v>에스아이리소스 차트보기</v>
      </c>
    </row>
    <row r="1754" spans="1:33" x14ac:dyDescent="0.3">
      <c r="A1754" t="s">
        <v>7043</v>
      </c>
      <c r="B1754" t="s">
        <v>34</v>
      </c>
      <c r="C1754" t="s">
        <v>7044</v>
      </c>
      <c r="D1754">
        <v>606197.71</v>
      </c>
      <c r="E1754" t="s">
        <v>7045</v>
      </c>
      <c r="J1754" t="s">
        <v>7046</v>
      </c>
      <c r="K1754">
        <v>12738</v>
      </c>
      <c r="L1754">
        <v>11560</v>
      </c>
      <c r="M1754">
        <v>-9.25</v>
      </c>
      <c r="N1754">
        <v>-2.69</v>
      </c>
      <c r="O1754">
        <v>1.79</v>
      </c>
      <c r="P1754">
        <v>-2.73</v>
      </c>
      <c r="Q1754">
        <v>-1.95</v>
      </c>
      <c r="R1754">
        <v>-0.16</v>
      </c>
      <c r="S1754">
        <v>-2.29</v>
      </c>
      <c r="T1754">
        <v>0.36</v>
      </c>
      <c r="U1754">
        <v>0.65</v>
      </c>
      <c r="V1754">
        <v>0.54</v>
      </c>
      <c r="W1754">
        <v>1.5</v>
      </c>
      <c r="X1754">
        <v>0.59</v>
      </c>
      <c r="Y1754">
        <v>0.64</v>
      </c>
      <c r="Z1754">
        <v>7.47</v>
      </c>
      <c r="AA1754">
        <v>2.75</v>
      </c>
      <c r="AB1754">
        <v>5.0599999999999996</v>
      </c>
      <c r="AC1754">
        <v>1.3</v>
      </c>
      <c r="AD1754">
        <v>0.27</v>
      </c>
      <c r="AE1754">
        <v>3.58</v>
      </c>
      <c r="AF1754">
        <v>3.4049999999999998</v>
      </c>
      <c r="AG1754" t="str">
        <f>HYPERLINK("https://finance.naver.com/item/fchart.naver?code=088980", "맥쿼리인프라 차트보기")</f>
        <v>맥쿼리인프라 차트보기</v>
      </c>
    </row>
    <row r="1755" spans="1:33" x14ac:dyDescent="0.3">
      <c r="A1755" t="s">
        <v>7047</v>
      </c>
      <c r="B1755" t="s">
        <v>34</v>
      </c>
      <c r="C1755" t="s">
        <v>7048</v>
      </c>
      <c r="D1755">
        <v>76434.570000000007</v>
      </c>
      <c r="E1755" t="s">
        <v>7049</v>
      </c>
      <c r="F1755">
        <v>11.01</v>
      </c>
      <c r="G1755">
        <v>0.46000000834465032</v>
      </c>
      <c r="H1755">
        <v>794</v>
      </c>
      <c r="I1755">
        <v>1.139999985694885</v>
      </c>
      <c r="J1755" t="s">
        <v>7050</v>
      </c>
      <c r="K1755">
        <v>11450</v>
      </c>
      <c r="L1755">
        <v>8740</v>
      </c>
      <c r="M1755">
        <v>-23.67</v>
      </c>
      <c r="N1755">
        <v>6.59</v>
      </c>
      <c r="O1755">
        <v>-5.56</v>
      </c>
      <c r="P1755">
        <v>-5.46</v>
      </c>
      <c r="Q1755">
        <v>-7.13</v>
      </c>
      <c r="R1755">
        <v>-4.34</v>
      </c>
      <c r="S1755">
        <v>-9.17</v>
      </c>
      <c r="T1755">
        <v>1.87</v>
      </c>
      <c r="U1755">
        <v>1.58</v>
      </c>
      <c r="V1755">
        <v>2.42</v>
      </c>
      <c r="W1755">
        <v>4.0999999999999996</v>
      </c>
      <c r="X1755">
        <v>1.63</v>
      </c>
      <c r="Y1755">
        <v>1.36</v>
      </c>
      <c r="Z1755">
        <v>3.52</v>
      </c>
      <c r="AA1755">
        <v>3.52</v>
      </c>
      <c r="AB1755">
        <v>2.2599999999999998</v>
      </c>
      <c r="AC1755">
        <v>1.74</v>
      </c>
      <c r="AD1755">
        <v>2.66</v>
      </c>
      <c r="AE1755">
        <v>6.74</v>
      </c>
      <c r="AF1755">
        <v>3.4066666666666672</v>
      </c>
      <c r="AG1755" t="str">
        <f>HYPERLINK("https://finance.naver.com/item/fchart.naver?code=000490", "대동 차트보기")</f>
        <v>대동 차트보기</v>
      </c>
    </row>
    <row r="1756" spans="1:33" x14ac:dyDescent="0.3">
      <c r="A1756" t="s">
        <v>7051</v>
      </c>
      <c r="B1756" t="s">
        <v>55</v>
      </c>
      <c r="C1756" t="s">
        <v>7052</v>
      </c>
      <c r="D1756">
        <v>27813.1</v>
      </c>
      <c r="E1756" t="s">
        <v>7053</v>
      </c>
      <c r="F1756">
        <v>14.75</v>
      </c>
      <c r="G1756">
        <v>1.970000028610229</v>
      </c>
      <c r="H1756">
        <v>5246</v>
      </c>
      <c r="I1756">
        <v>1.549999952316284</v>
      </c>
      <c r="J1756" t="s">
        <v>7054</v>
      </c>
      <c r="K1756">
        <v>119000</v>
      </c>
      <c r="L1756">
        <v>77400</v>
      </c>
      <c r="M1756">
        <v>-34.96</v>
      </c>
      <c r="N1756">
        <v>-7.08</v>
      </c>
      <c r="O1756">
        <v>-7.47</v>
      </c>
      <c r="P1756">
        <v>-5.81</v>
      </c>
      <c r="Q1756">
        <v>-11.61</v>
      </c>
      <c r="R1756">
        <v>-15.01</v>
      </c>
      <c r="S1756">
        <v>9.3000000000000007</v>
      </c>
      <c r="T1756">
        <v>2.83</v>
      </c>
      <c r="U1756">
        <v>2.68</v>
      </c>
      <c r="V1756">
        <v>2.33</v>
      </c>
      <c r="W1756">
        <v>3.92</v>
      </c>
      <c r="X1756">
        <v>2.0699999999999998</v>
      </c>
      <c r="Y1756">
        <v>3.79</v>
      </c>
      <c r="Z1756">
        <v>2.5</v>
      </c>
      <c r="AA1756">
        <v>2.79</v>
      </c>
      <c r="AB1756">
        <v>2.4900000000000002</v>
      </c>
      <c r="AC1756">
        <v>2.96</v>
      </c>
      <c r="AD1756">
        <v>7.25</v>
      </c>
      <c r="AE1756">
        <v>2.4500000000000002</v>
      </c>
      <c r="AF1756">
        <v>3.4066666666666672</v>
      </c>
      <c r="AG1756" t="str">
        <f>HYPERLINK("https://finance.naver.com/item/fchart.naver?code=064760", "티씨케이 차트보기")</f>
        <v>티씨케이 차트보기</v>
      </c>
    </row>
    <row r="1757" spans="1:33" x14ac:dyDescent="0.3">
      <c r="A1757" t="s">
        <v>7055</v>
      </c>
      <c r="B1757" t="s">
        <v>34</v>
      </c>
      <c r="C1757" t="s">
        <v>7056</v>
      </c>
      <c r="D1757">
        <v>32371.95</v>
      </c>
      <c r="E1757" t="s">
        <v>7057</v>
      </c>
      <c r="F1757">
        <v>0</v>
      </c>
      <c r="G1757">
        <v>0.20000000298023221</v>
      </c>
      <c r="H1757">
        <v>0</v>
      </c>
      <c r="I1757">
        <v>2.2000000476837158</v>
      </c>
      <c r="J1757" t="s">
        <v>7058</v>
      </c>
      <c r="K1757">
        <v>408500</v>
      </c>
      <c r="L1757">
        <v>454000</v>
      </c>
      <c r="M1757">
        <v>11.14</v>
      </c>
      <c r="N1757">
        <v>14.94</v>
      </c>
      <c r="O1757">
        <v>12.83</v>
      </c>
      <c r="P1757">
        <v>15</v>
      </c>
      <c r="Q1757">
        <v>0.16</v>
      </c>
      <c r="R1757">
        <v>-7.09</v>
      </c>
      <c r="S1757">
        <v>-9.84</v>
      </c>
      <c r="T1757">
        <v>2.39</v>
      </c>
      <c r="U1757">
        <v>6.24</v>
      </c>
      <c r="V1757">
        <v>13.26</v>
      </c>
      <c r="W1757">
        <v>2.17</v>
      </c>
      <c r="X1757">
        <v>1.53</v>
      </c>
      <c r="Y1757">
        <v>1.56</v>
      </c>
      <c r="Z1757">
        <v>6.25</v>
      </c>
      <c r="AA1757">
        <v>2.06</v>
      </c>
      <c r="AB1757">
        <v>1.1299999999999999</v>
      </c>
      <c r="AC1757">
        <v>7.0000000000000007E-2</v>
      </c>
      <c r="AD1757">
        <v>4.63</v>
      </c>
      <c r="AE1757">
        <v>6.31</v>
      </c>
      <c r="AF1757">
        <v>3.4083333333333332</v>
      </c>
      <c r="AG1757" t="str">
        <f>HYPERLINK("https://finance.naver.com/item/fchart.naver?code=000670", "영풍 차트보기")</f>
        <v>영풍 차트보기</v>
      </c>
    </row>
    <row r="1758" spans="1:33" x14ac:dyDescent="0.3">
      <c r="A1758" t="s">
        <v>7059</v>
      </c>
      <c r="B1758" t="s">
        <v>55</v>
      </c>
      <c r="C1758" t="s">
        <v>7060</v>
      </c>
      <c r="D1758">
        <v>70706.289999999994</v>
      </c>
      <c r="E1758" t="s">
        <v>7061</v>
      </c>
      <c r="F1758">
        <v>2.72</v>
      </c>
      <c r="G1758">
        <v>0.20000000298023221</v>
      </c>
      <c r="H1758">
        <v>1844</v>
      </c>
      <c r="I1758">
        <v>2.3900001049041748</v>
      </c>
      <c r="J1758" t="s">
        <v>7062</v>
      </c>
      <c r="K1758">
        <v>8830</v>
      </c>
      <c r="L1758">
        <v>5020</v>
      </c>
      <c r="M1758">
        <v>-43.15</v>
      </c>
      <c r="N1758">
        <v>-0.59</v>
      </c>
      <c r="O1758">
        <v>-7.79</v>
      </c>
      <c r="P1758">
        <v>-4.13</v>
      </c>
      <c r="Q1758">
        <v>-15.98</v>
      </c>
      <c r="R1758">
        <v>-10.72</v>
      </c>
      <c r="S1758">
        <v>-5.51</v>
      </c>
      <c r="T1758">
        <v>2.4500000000000002</v>
      </c>
      <c r="U1758">
        <v>1.77</v>
      </c>
      <c r="V1758">
        <v>3.68</v>
      </c>
      <c r="W1758">
        <v>3.87</v>
      </c>
      <c r="X1758">
        <v>1.58</v>
      </c>
      <c r="Y1758">
        <v>1.45</v>
      </c>
      <c r="Z1758">
        <v>0.24</v>
      </c>
      <c r="AA1758">
        <v>4.4000000000000004</v>
      </c>
      <c r="AB1758">
        <v>1.1200000000000001</v>
      </c>
      <c r="AC1758">
        <v>4.13</v>
      </c>
      <c r="AD1758">
        <v>6.78</v>
      </c>
      <c r="AE1758">
        <v>3.8</v>
      </c>
      <c r="AF1758">
        <v>3.4116666666666671</v>
      </c>
      <c r="AG1758" t="str">
        <f>HYPERLINK("https://finance.naver.com/item/fchart.naver?code=151860", "KG에코솔루션 차트보기")</f>
        <v>KG에코솔루션 차트보기</v>
      </c>
    </row>
    <row r="1759" spans="1:33" x14ac:dyDescent="0.3">
      <c r="A1759" t="s">
        <v>7063</v>
      </c>
      <c r="B1759" t="s">
        <v>55</v>
      </c>
      <c r="C1759" t="s">
        <v>7064</v>
      </c>
      <c r="D1759">
        <v>3239.38</v>
      </c>
      <c r="E1759" t="s">
        <v>7065</v>
      </c>
      <c r="F1759">
        <v>23.58</v>
      </c>
      <c r="G1759">
        <v>0.37000000476837158</v>
      </c>
      <c r="H1759">
        <v>260</v>
      </c>
      <c r="I1759">
        <v>0.98000001907348633</v>
      </c>
      <c r="J1759" t="s">
        <v>7066</v>
      </c>
      <c r="K1759">
        <v>8570</v>
      </c>
      <c r="L1759">
        <v>6130</v>
      </c>
      <c r="M1759">
        <v>-28.47</v>
      </c>
      <c r="N1759">
        <v>-0.49</v>
      </c>
      <c r="O1759">
        <v>-3.72</v>
      </c>
      <c r="P1759">
        <v>-3.69</v>
      </c>
      <c r="Q1759">
        <v>-12.86</v>
      </c>
      <c r="R1759">
        <v>-5.08</v>
      </c>
      <c r="S1759">
        <v>-3.72</v>
      </c>
      <c r="T1759">
        <v>1.39</v>
      </c>
      <c r="U1759">
        <v>1.1200000000000001</v>
      </c>
      <c r="V1759">
        <v>1.83</v>
      </c>
      <c r="W1759">
        <v>4.34</v>
      </c>
      <c r="X1759">
        <v>0.72</v>
      </c>
      <c r="Y1759">
        <v>0.78</v>
      </c>
      <c r="Z1759">
        <v>0.35</v>
      </c>
      <c r="AA1759">
        <v>3.32</v>
      </c>
      <c r="AB1759">
        <v>2.02</v>
      </c>
      <c r="AC1759">
        <v>2.96</v>
      </c>
      <c r="AD1759">
        <v>7.06</v>
      </c>
      <c r="AE1759">
        <v>4.7699999999999996</v>
      </c>
      <c r="AF1759">
        <v>3.4133333333333331</v>
      </c>
      <c r="AG1759" t="str">
        <f>HYPERLINK("https://finance.naver.com/item/fchart.naver?code=020400", "대동금속 차트보기")</f>
        <v>대동금속 차트보기</v>
      </c>
    </row>
    <row r="1760" spans="1:33" x14ac:dyDescent="0.3">
      <c r="A1760" t="s">
        <v>7067</v>
      </c>
      <c r="B1760" t="s">
        <v>55</v>
      </c>
      <c r="C1760" t="s">
        <v>7068</v>
      </c>
      <c r="D1760">
        <v>529577.18999999994</v>
      </c>
      <c r="E1760" t="s">
        <v>7069</v>
      </c>
      <c r="F1760">
        <v>0</v>
      </c>
      <c r="G1760">
        <v>1.4600000381469731</v>
      </c>
      <c r="H1760">
        <v>0</v>
      </c>
      <c r="I1760">
        <v>0.2800000011920929</v>
      </c>
      <c r="J1760" t="s">
        <v>7070</v>
      </c>
      <c r="K1760">
        <v>31750</v>
      </c>
      <c r="L1760">
        <v>17800</v>
      </c>
      <c r="M1760">
        <v>-43.94</v>
      </c>
      <c r="N1760">
        <v>-1.66</v>
      </c>
      <c r="O1760">
        <v>-12.85</v>
      </c>
      <c r="P1760">
        <v>-17.18</v>
      </c>
      <c r="Q1760">
        <v>-14.69</v>
      </c>
      <c r="R1760">
        <v>-20.64</v>
      </c>
      <c r="S1760">
        <v>4.34</v>
      </c>
      <c r="T1760">
        <v>1.77</v>
      </c>
      <c r="U1760">
        <v>4.08</v>
      </c>
      <c r="V1760">
        <v>3.06</v>
      </c>
      <c r="W1760">
        <v>5.68</v>
      </c>
      <c r="X1760">
        <v>2.97</v>
      </c>
      <c r="Y1760">
        <v>3.51</v>
      </c>
      <c r="Z1760">
        <v>0.94</v>
      </c>
      <c r="AA1760">
        <v>3.15</v>
      </c>
      <c r="AB1760">
        <v>5.61</v>
      </c>
      <c r="AC1760">
        <v>2.59</v>
      </c>
      <c r="AD1760">
        <v>6.95</v>
      </c>
      <c r="AE1760">
        <v>1.24</v>
      </c>
      <c r="AF1760">
        <v>3.4133333333333331</v>
      </c>
      <c r="AG1760" t="str">
        <f>HYPERLINK("https://finance.naver.com/item/fchart.naver?code=036810", "에프에스티 차트보기")</f>
        <v>에프에스티 차트보기</v>
      </c>
    </row>
    <row r="1761" spans="1:33" x14ac:dyDescent="0.3">
      <c r="A1761" t="s">
        <v>7071</v>
      </c>
      <c r="B1761" t="s">
        <v>34</v>
      </c>
      <c r="C1761" t="s">
        <v>7072</v>
      </c>
      <c r="D1761">
        <v>22961.57</v>
      </c>
      <c r="E1761" t="s">
        <v>7073</v>
      </c>
      <c r="F1761">
        <v>3.73</v>
      </c>
      <c r="G1761">
        <v>0.239999994635582</v>
      </c>
      <c r="H1761">
        <v>9699</v>
      </c>
      <c r="I1761">
        <v>4.6999998092651367</v>
      </c>
      <c r="J1761" t="s">
        <v>7074</v>
      </c>
      <c r="K1761">
        <v>43500</v>
      </c>
      <c r="L1761">
        <v>36200</v>
      </c>
      <c r="M1761">
        <v>-16.78</v>
      </c>
      <c r="N1761">
        <v>5.69</v>
      </c>
      <c r="O1761">
        <v>0</v>
      </c>
      <c r="P1761">
        <v>-1.71</v>
      </c>
      <c r="Q1761">
        <v>-8.17</v>
      </c>
      <c r="R1761">
        <v>-0.39</v>
      </c>
      <c r="S1761">
        <v>-15.2</v>
      </c>
      <c r="T1761">
        <v>1.3</v>
      </c>
      <c r="U1761">
        <v>1.18</v>
      </c>
      <c r="V1761">
        <v>1.26</v>
      </c>
      <c r="W1761">
        <v>1.99</v>
      </c>
      <c r="X1761">
        <v>1.31</v>
      </c>
      <c r="Y1761">
        <v>1.47</v>
      </c>
      <c r="Z1761">
        <v>4.38</v>
      </c>
      <c r="AA1761">
        <v>0</v>
      </c>
      <c r="AB1761">
        <v>1.36</v>
      </c>
      <c r="AC1761">
        <v>4.1100000000000003</v>
      </c>
      <c r="AD1761">
        <v>0.3</v>
      </c>
      <c r="AE1761">
        <v>10.34</v>
      </c>
      <c r="AF1761">
        <v>3.415</v>
      </c>
      <c r="AG1761" t="str">
        <f>HYPERLINK("https://finance.naver.com/item/fchart.naver?code=006120", "SK디스커버리 차트보기")</f>
        <v>SK디스커버리 차트보기</v>
      </c>
    </row>
    <row r="1762" spans="1:33" x14ac:dyDescent="0.3">
      <c r="A1762" t="s">
        <v>7075</v>
      </c>
      <c r="B1762" t="s">
        <v>55</v>
      </c>
      <c r="C1762" t="s">
        <v>7076</v>
      </c>
      <c r="D1762">
        <v>572825.43000000005</v>
      </c>
      <c r="E1762" t="s">
        <v>7077</v>
      </c>
      <c r="F1762">
        <v>0</v>
      </c>
      <c r="G1762">
        <v>2.4500000476837158</v>
      </c>
      <c r="H1762">
        <v>0</v>
      </c>
      <c r="I1762">
        <v>0</v>
      </c>
      <c r="J1762" t="s">
        <v>7078</v>
      </c>
      <c r="K1762">
        <v>4415</v>
      </c>
      <c r="L1762">
        <v>3915</v>
      </c>
      <c r="M1762">
        <v>-11.33</v>
      </c>
      <c r="N1762">
        <v>-0.51</v>
      </c>
      <c r="O1762">
        <v>7.67</v>
      </c>
      <c r="P1762">
        <v>9.16</v>
      </c>
      <c r="Q1762">
        <v>-12.18</v>
      </c>
      <c r="R1762">
        <v>15.19</v>
      </c>
      <c r="S1762">
        <v>-10.76</v>
      </c>
      <c r="T1762">
        <v>1.66</v>
      </c>
      <c r="U1762">
        <v>2.41</v>
      </c>
      <c r="V1762">
        <v>2.86</v>
      </c>
      <c r="W1762">
        <v>4.08</v>
      </c>
      <c r="X1762">
        <v>2.88</v>
      </c>
      <c r="Y1762">
        <v>1.94</v>
      </c>
      <c r="Z1762">
        <v>0.31</v>
      </c>
      <c r="AA1762">
        <v>3.18</v>
      </c>
      <c r="AB1762">
        <v>3.2</v>
      </c>
      <c r="AC1762">
        <v>2.99</v>
      </c>
      <c r="AD1762">
        <v>5.27</v>
      </c>
      <c r="AE1762">
        <v>5.55</v>
      </c>
      <c r="AF1762">
        <v>3.416666666666667</v>
      </c>
      <c r="AG1762" t="str">
        <f>HYPERLINK("https://finance.naver.com/item/fchart.naver?code=204620", "글로벌텍스프리 차트보기")</f>
        <v>글로벌텍스프리 차트보기</v>
      </c>
    </row>
    <row r="1763" spans="1:33" x14ac:dyDescent="0.3">
      <c r="A1763" t="s">
        <v>7079</v>
      </c>
      <c r="B1763" t="s">
        <v>55</v>
      </c>
      <c r="C1763" t="s">
        <v>7080</v>
      </c>
      <c r="D1763">
        <v>186611.19</v>
      </c>
      <c r="E1763" t="s">
        <v>7081</v>
      </c>
      <c r="F1763">
        <v>0</v>
      </c>
      <c r="G1763">
        <v>6.070000171661377</v>
      </c>
      <c r="H1763">
        <v>0</v>
      </c>
      <c r="I1763">
        <v>0</v>
      </c>
      <c r="J1763" t="s">
        <v>7082</v>
      </c>
      <c r="K1763">
        <v>30800</v>
      </c>
      <c r="L1763">
        <v>17650</v>
      </c>
      <c r="M1763">
        <v>-42.69</v>
      </c>
      <c r="N1763">
        <v>-6.66</v>
      </c>
      <c r="O1763">
        <v>-23.67</v>
      </c>
      <c r="P1763">
        <v>-5.26</v>
      </c>
      <c r="Q1763">
        <v>3.61</v>
      </c>
      <c r="R1763">
        <v>33.78</v>
      </c>
      <c r="S1763">
        <v>-12.05</v>
      </c>
      <c r="T1763">
        <v>2.35</v>
      </c>
      <c r="U1763">
        <v>3.29</v>
      </c>
      <c r="V1763">
        <v>2.58</v>
      </c>
      <c r="W1763">
        <v>3.3</v>
      </c>
      <c r="X1763">
        <v>8.14</v>
      </c>
      <c r="Y1763">
        <v>3.75</v>
      </c>
      <c r="Z1763">
        <v>2.83</v>
      </c>
      <c r="AA1763">
        <v>7.19</v>
      </c>
      <c r="AB1763">
        <v>2.04</v>
      </c>
      <c r="AC1763">
        <v>1.0900000000000001</v>
      </c>
      <c r="AD1763">
        <v>4.1500000000000004</v>
      </c>
      <c r="AE1763">
        <v>3.21</v>
      </c>
      <c r="AF1763">
        <v>3.418333333333333</v>
      </c>
      <c r="AG1763" t="str">
        <f>HYPERLINK("https://finance.naver.com/item/fchart.naver?code=047920", "HLB제약 차트보기")</f>
        <v>HLB제약 차트보기</v>
      </c>
    </row>
    <row r="1764" spans="1:33" x14ac:dyDescent="0.3">
      <c r="A1764" t="s">
        <v>7083</v>
      </c>
      <c r="B1764" t="s">
        <v>55</v>
      </c>
      <c r="C1764" t="s">
        <v>7084</v>
      </c>
      <c r="D1764">
        <v>40056.239999999998</v>
      </c>
      <c r="E1764" t="s">
        <v>7085</v>
      </c>
      <c r="F1764">
        <v>0</v>
      </c>
      <c r="G1764">
        <v>3.3499999046325679</v>
      </c>
      <c r="H1764">
        <v>0</v>
      </c>
      <c r="I1764">
        <v>0</v>
      </c>
      <c r="J1764" t="s">
        <v>7086</v>
      </c>
      <c r="K1764">
        <v>4795</v>
      </c>
      <c r="L1764">
        <v>3700</v>
      </c>
      <c r="M1764">
        <v>-22.84</v>
      </c>
      <c r="N1764">
        <v>8.66</v>
      </c>
      <c r="O1764">
        <v>-13.76</v>
      </c>
      <c r="P1764">
        <v>5.62</v>
      </c>
      <c r="Q1764">
        <v>-9.34</v>
      </c>
      <c r="R1764">
        <v>-15.02</v>
      </c>
      <c r="S1764">
        <v>1.21</v>
      </c>
      <c r="T1764">
        <v>3.23</v>
      </c>
      <c r="U1764">
        <v>1.76</v>
      </c>
      <c r="V1764">
        <v>2.94</v>
      </c>
      <c r="W1764">
        <v>3.67</v>
      </c>
      <c r="X1764">
        <v>2.88</v>
      </c>
      <c r="Y1764">
        <v>3.6</v>
      </c>
      <c r="Z1764">
        <v>2.68</v>
      </c>
      <c r="AA1764">
        <v>7.82</v>
      </c>
      <c r="AB1764">
        <v>1.91</v>
      </c>
      <c r="AC1764">
        <v>2.54</v>
      </c>
      <c r="AD1764">
        <v>5.22</v>
      </c>
      <c r="AE1764">
        <v>0.34</v>
      </c>
      <c r="AF1764">
        <v>3.418333333333333</v>
      </c>
      <c r="AG1764" t="str">
        <f>HYPERLINK("https://finance.naver.com/item/fchart.naver?code=317120", "라닉스 차트보기")</f>
        <v>라닉스 차트보기</v>
      </c>
    </row>
    <row r="1765" spans="1:33" x14ac:dyDescent="0.3">
      <c r="A1765" t="s">
        <v>7087</v>
      </c>
      <c r="B1765" t="s">
        <v>34</v>
      </c>
      <c r="C1765" t="s">
        <v>7088</v>
      </c>
      <c r="D1765">
        <v>115806.9</v>
      </c>
      <c r="E1765" t="s">
        <v>7089</v>
      </c>
      <c r="F1765">
        <v>0</v>
      </c>
      <c r="G1765">
        <v>0</v>
      </c>
      <c r="H1765">
        <v>0</v>
      </c>
      <c r="I1765">
        <v>7.0199999809265137</v>
      </c>
      <c r="J1765" t="s">
        <v>7090</v>
      </c>
      <c r="K1765">
        <v>157000</v>
      </c>
      <c r="L1765">
        <v>163800</v>
      </c>
      <c r="M1765">
        <v>4.33</v>
      </c>
      <c r="N1765">
        <v>0.12</v>
      </c>
      <c r="O1765">
        <v>-7.52</v>
      </c>
      <c r="P1765">
        <v>-3.89</v>
      </c>
      <c r="Q1765">
        <v>10.32</v>
      </c>
      <c r="R1765">
        <v>-9.75</v>
      </c>
      <c r="S1765">
        <v>14.64</v>
      </c>
      <c r="T1765">
        <v>1.43</v>
      </c>
      <c r="U1765">
        <v>1.61</v>
      </c>
      <c r="V1765">
        <v>2.15</v>
      </c>
      <c r="W1765">
        <v>3.22</v>
      </c>
      <c r="X1765">
        <v>2.0299999999999998</v>
      </c>
      <c r="Y1765">
        <v>2.46</v>
      </c>
      <c r="Z1765">
        <v>0.08</v>
      </c>
      <c r="AA1765">
        <v>4.67</v>
      </c>
      <c r="AB1765">
        <v>1.81</v>
      </c>
      <c r="AC1765">
        <v>3.2</v>
      </c>
      <c r="AD1765">
        <v>4.8</v>
      </c>
      <c r="AE1765">
        <v>5.95</v>
      </c>
      <c r="AF1765">
        <v>3.418333333333333</v>
      </c>
      <c r="AG1765" t="str">
        <f>HYPERLINK("https://finance.naver.com/item/fchart.naver?code=005387", "현대차2우B 차트보기")</f>
        <v>현대차2우B 차트보기</v>
      </c>
    </row>
    <row r="1766" spans="1:33" x14ac:dyDescent="0.3">
      <c r="A1766" t="s">
        <v>7091</v>
      </c>
      <c r="B1766" t="s">
        <v>55</v>
      </c>
      <c r="C1766" t="s">
        <v>7092</v>
      </c>
      <c r="D1766">
        <v>2628374</v>
      </c>
      <c r="E1766" t="s">
        <v>7093</v>
      </c>
      <c r="F1766">
        <v>152.5</v>
      </c>
      <c r="G1766">
        <v>3.940000057220459</v>
      </c>
      <c r="H1766">
        <v>26</v>
      </c>
      <c r="I1766">
        <v>0</v>
      </c>
      <c r="J1766" t="s">
        <v>7094</v>
      </c>
      <c r="K1766">
        <v>3525</v>
      </c>
      <c r="L1766">
        <v>3965</v>
      </c>
      <c r="M1766">
        <v>12.48</v>
      </c>
      <c r="N1766">
        <v>19.61</v>
      </c>
      <c r="O1766">
        <v>12.05</v>
      </c>
      <c r="P1766">
        <v>-1.8</v>
      </c>
      <c r="Q1766">
        <v>-9.32</v>
      </c>
      <c r="R1766">
        <v>8.0500000000000007</v>
      </c>
      <c r="S1766">
        <v>-17</v>
      </c>
      <c r="T1766">
        <v>7.88</v>
      </c>
      <c r="U1766">
        <v>4.5999999999999996</v>
      </c>
      <c r="V1766">
        <v>1.74</v>
      </c>
      <c r="W1766">
        <v>3.31</v>
      </c>
      <c r="X1766">
        <v>2.2000000000000002</v>
      </c>
      <c r="Y1766">
        <v>2.15</v>
      </c>
      <c r="Z1766">
        <v>2.4900000000000002</v>
      </c>
      <c r="AA1766">
        <v>2.62</v>
      </c>
      <c r="AB1766">
        <v>1.03</v>
      </c>
      <c r="AC1766">
        <v>2.82</v>
      </c>
      <c r="AD1766">
        <v>3.66</v>
      </c>
      <c r="AE1766">
        <v>7.91</v>
      </c>
      <c r="AF1766">
        <v>3.4216666666666669</v>
      </c>
      <c r="AG1766" t="str">
        <f>HYPERLINK("https://finance.naver.com/item/fchart.naver?code=302550", "리메드 차트보기")</f>
        <v>리메드 차트보기</v>
      </c>
    </row>
    <row r="1767" spans="1:33" x14ac:dyDescent="0.3">
      <c r="A1767" t="s">
        <v>7095</v>
      </c>
      <c r="B1767" t="s">
        <v>34</v>
      </c>
      <c r="C1767" t="s">
        <v>7096</v>
      </c>
      <c r="D1767">
        <v>2206.62</v>
      </c>
      <c r="E1767" t="s">
        <v>7097</v>
      </c>
      <c r="F1767">
        <v>0</v>
      </c>
      <c r="G1767">
        <v>0</v>
      </c>
      <c r="H1767">
        <v>0</v>
      </c>
      <c r="I1767">
        <v>0</v>
      </c>
      <c r="J1767" t="s">
        <v>7098</v>
      </c>
      <c r="K1767">
        <v>3170</v>
      </c>
      <c r="L1767">
        <v>2590</v>
      </c>
      <c r="M1767">
        <v>-18.3</v>
      </c>
      <c r="N1767">
        <v>0.97</v>
      </c>
      <c r="O1767">
        <v>-1.71</v>
      </c>
      <c r="P1767">
        <v>-7.93</v>
      </c>
      <c r="Q1767">
        <v>13.89</v>
      </c>
      <c r="R1767">
        <v>-8.4700000000000006</v>
      </c>
      <c r="S1767">
        <v>-9.58</v>
      </c>
      <c r="T1767">
        <v>1.49</v>
      </c>
      <c r="U1767">
        <v>1.05</v>
      </c>
      <c r="V1767">
        <v>3.31</v>
      </c>
      <c r="W1767">
        <v>10.44</v>
      </c>
      <c r="X1767">
        <v>1.2</v>
      </c>
      <c r="Y1767">
        <v>1.28</v>
      </c>
      <c r="Z1767">
        <v>0.65</v>
      </c>
      <c r="AA1767">
        <v>1.63</v>
      </c>
      <c r="AB1767">
        <v>2.4</v>
      </c>
      <c r="AC1767">
        <v>1.33</v>
      </c>
      <c r="AD1767">
        <v>7.06</v>
      </c>
      <c r="AE1767">
        <v>7.48</v>
      </c>
      <c r="AF1767">
        <v>3.4249999999999998</v>
      </c>
      <c r="AG1767" t="str">
        <f>HYPERLINK("https://finance.naver.com/item/fchart.naver?code=45226K", "한화갤러리아우 차트보기")</f>
        <v>한화갤러리아우 차트보기</v>
      </c>
    </row>
    <row r="1768" spans="1:33" x14ac:dyDescent="0.3">
      <c r="A1768" t="s">
        <v>7099</v>
      </c>
      <c r="B1768" t="s">
        <v>34</v>
      </c>
      <c r="C1768" t="s">
        <v>7100</v>
      </c>
      <c r="D1768">
        <v>228505.29</v>
      </c>
      <c r="E1768" t="s">
        <v>7101</v>
      </c>
      <c r="F1768">
        <v>9.5500000000000007</v>
      </c>
      <c r="G1768">
        <v>2.0799999237060551</v>
      </c>
      <c r="H1768">
        <v>11020</v>
      </c>
      <c r="I1768">
        <v>2.2400000095367432</v>
      </c>
      <c r="J1768" t="s">
        <v>7102</v>
      </c>
      <c r="K1768">
        <v>81400</v>
      </c>
      <c r="L1768">
        <v>105200</v>
      </c>
      <c r="M1768">
        <v>29.24</v>
      </c>
      <c r="N1768">
        <v>2.33</v>
      </c>
      <c r="O1768">
        <v>6.65</v>
      </c>
      <c r="P1768">
        <v>4.97</v>
      </c>
      <c r="Q1768">
        <v>10.4</v>
      </c>
      <c r="R1768">
        <v>9.0399999999999991</v>
      </c>
      <c r="S1768">
        <v>3.53</v>
      </c>
      <c r="T1768">
        <v>1.1299999999999999</v>
      </c>
      <c r="U1768">
        <v>1.3</v>
      </c>
      <c r="V1768">
        <v>2.14</v>
      </c>
      <c r="W1768">
        <v>2.89</v>
      </c>
      <c r="X1768">
        <v>1.7</v>
      </c>
      <c r="Y1768">
        <v>1.66</v>
      </c>
      <c r="Z1768">
        <v>2.06</v>
      </c>
      <c r="AA1768">
        <v>5.12</v>
      </c>
      <c r="AB1768">
        <v>2.3199999999999998</v>
      </c>
      <c r="AC1768">
        <v>3.6</v>
      </c>
      <c r="AD1768">
        <v>5.32</v>
      </c>
      <c r="AE1768">
        <v>2.13</v>
      </c>
      <c r="AF1768">
        <v>3.4249999999999998</v>
      </c>
      <c r="AG1768" t="str">
        <f>HYPERLINK("https://finance.naver.com/item/fchart.naver?code=138040", "메리츠금융지주 차트보기")</f>
        <v>메리츠금융지주 차트보기</v>
      </c>
    </row>
    <row r="1769" spans="1:33" x14ac:dyDescent="0.3">
      <c r="A1769" t="s">
        <v>7103</v>
      </c>
      <c r="B1769" t="s">
        <v>55</v>
      </c>
      <c r="C1769" t="s">
        <v>7104</v>
      </c>
      <c r="D1769">
        <v>589491</v>
      </c>
      <c r="E1769" t="s">
        <v>7105</v>
      </c>
      <c r="F1769">
        <v>0</v>
      </c>
      <c r="G1769">
        <v>1.4099999666213989</v>
      </c>
      <c r="H1769">
        <v>0</v>
      </c>
      <c r="I1769">
        <v>0</v>
      </c>
      <c r="J1769" t="s">
        <v>7106</v>
      </c>
      <c r="K1769">
        <v>6340</v>
      </c>
      <c r="L1769">
        <v>4085</v>
      </c>
      <c r="M1769">
        <v>-35.57</v>
      </c>
      <c r="N1769">
        <v>9.52</v>
      </c>
      <c r="O1769">
        <v>-12.46</v>
      </c>
      <c r="P1769">
        <v>-6.62</v>
      </c>
      <c r="Q1769">
        <v>25.12</v>
      </c>
      <c r="R1769">
        <v>-13.89</v>
      </c>
      <c r="S1769">
        <v>-16.100000000000001</v>
      </c>
      <c r="T1769">
        <v>6.56</v>
      </c>
      <c r="U1769">
        <v>3.44</v>
      </c>
      <c r="V1769">
        <v>9.07</v>
      </c>
      <c r="W1769">
        <v>7.86</v>
      </c>
      <c r="X1769">
        <v>3.23</v>
      </c>
      <c r="Y1769">
        <v>2.2200000000000002</v>
      </c>
      <c r="Z1769">
        <v>1.45</v>
      </c>
      <c r="AA1769">
        <v>3.62</v>
      </c>
      <c r="AB1769">
        <v>0.73</v>
      </c>
      <c r="AC1769">
        <v>3.2</v>
      </c>
      <c r="AD1769">
        <v>4.3</v>
      </c>
      <c r="AE1769">
        <v>7.25</v>
      </c>
      <c r="AF1769">
        <v>3.4249999999999998</v>
      </c>
      <c r="AG1769" t="str">
        <f>HYPERLINK("https://finance.naver.com/item/fchart.naver?code=434480", "모니터랩 차트보기")</f>
        <v>모니터랩 차트보기</v>
      </c>
    </row>
    <row r="1770" spans="1:33" x14ac:dyDescent="0.3">
      <c r="A1770" t="s">
        <v>7107</v>
      </c>
      <c r="B1770" t="s">
        <v>55</v>
      </c>
      <c r="C1770" t="s">
        <v>7108</v>
      </c>
      <c r="D1770">
        <v>47086.67</v>
      </c>
      <c r="E1770" t="s">
        <v>7109</v>
      </c>
      <c r="F1770">
        <v>0</v>
      </c>
      <c r="G1770">
        <v>1.169999957084656</v>
      </c>
      <c r="H1770">
        <v>0</v>
      </c>
      <c r="I1770">
        <v>0</v>
      </c>
      <c r="J1770" t="s">
        <v>7110</v>
      </c>
      <c r="K1770">
        <v>20650</v>
      </c>
      <c r="L1770">
        <v>14170</v>
      </c>
      <c r="M1770">
        <v>-31.38</v>
      </c>
      <c r="N1770">
        <v>2.5299999999999998</v>
      </c>
      <c r="O1770">
        <v>-8.82</v>
      </c>
      <c r="P1770">
        <v>-4.6399999999999997</v>
      </c>
      <c r="Q1770">
        <v>-7.33</v>
      </c>
      <c r="R1770">
        <v>-16.45</v>
      </c>
      <c r="S1770">
        <v>-9.76</v>
      </c>
      <c r="T1770">
        <v>2.52</v>
      </c>
      <c r="U1770">
        <v>1.69</v>
      </c>
      <c r="V1770">
        <v>2.0299999999999998</v>
      </c>
      <c r="W1770">
        <v>4.05</v>
      </c>
      <c r="X1770">
        <v>2.2400000000000002</v>
      </c>
      <c r="Y1770">
        <v>3.38</v>
      </c>
      <c r="Z1770">
        <v>1</v>
      </c>
      <c r="AA1770">
        <v>5.22</v>
      </c>
      <c r="AB1770">
        <v>2.29</v>
      </c>
      <c r="AC1770">
        <v>1.81</v>
      </c>
      <c r="AD1770">
        <v>7.34</v>
      </c>
      <c r="AE1770">
        <v>2.89</v>
      </c>
      <c r="AF1770">
        <v>3.4249999999999998</v>
      </c>
      <c r="AG1770" t="str">
        <f>HYPERLINK("https://finance.naver.com/item/fchart.naver?code=382900", "범한퓨얼셀 차트보기")</f>
        <v>범한퓨얼셀 차트보기</v>
      </c>
    </row>
    <row r="1771" spans="1:33" x14ac:dyDescent="0.3">
      <c r="A1771" t="s">
        <v>7111</v>
      </c>
      <c r="B1771" t="s">
        <v>55</v>
      </c>
      <c r="C1771" t="s">
        <v>7112</v>
      </c>
      <c r="D1771">
        <v>519577.76</v>
      </c>
      <c r="E1771" t="s">
        <v>7113</v>
      </c>
      <c r="F1771">
        <v>21.53</v>
      </c>
      <c r="G1771">
        <v>2.2400000095367432</v>
      </c>
      <c r="H1771">
        <v>485</v>
      </c>
      <c r="I1771">
        <v>0</v>
      </c>
      <c r="J1771" t="s">
        <v>7114</v>
      </c>
      <c r="K1771">
        <v>23500</v>
      </c>
      <c r="L1771">
        <v>10440</v>
      </c>
      <c r="M1771">
        <v>-55.57</v>
      </c>
      <c r="N1771">
        <v>-11.3</v>
      </c>
      <c r="O1771">
        <v>-6.84</v>
      </c>
      <c r="P1771">
        <v>-0.6</v>
      </c>
      <c r="Q1771">
        <v>-12.24</v>
      </c>
      <c r="R1771">
        <v>-17.670000000000002</v>
      </c>
      <c r="S1771">
        <v>-12.54</v>
      </c>
      <c r="T1771">
        <v>3.35</v>
      </c>
      <c r="U1771">
        <v>2.88</v>
      </c>
      <c r="V1771">
        <v>4.46</v>
      </c>
      <c r="W1771">
        <v>5.33</v>
      </c>
      <c r="X1771">
        <v>2.56</v>
      </c>
      <c r="Y1771">
        <v>2.2799999999999998</v>
      </c>
      <c r="Z1771">
        <v>3.37</v>
      </c>
      <c r="AA1771">
        <v>2.38</v>
      </c>
      <c r="AB1771">
        <v>0.13</v>
      </c>
      <c r="AC1771">
        <v>2.2999999999999998</v>
      </c>
      <c r="AD1771">
        <v>6.9</v>
      </c>
      <c r="AE1771">
        <v>5.5</v>
      </c>
      <c r="AF1771">
        <v>3.43</v>
      </c>
      <c r="AG1771" t="str">
        <f>HYPERLINK("https://finance.naver.com/item/fchart.naver?code=080220", "제주반도체 차트보기")</f>
        <v>제주반도체 차트보기</v>
      </c>
    </row>
    <row r="1772" spans="1:33" x14ac:dyDescent="0.3">
      <c r="A1772" t="s">
        <v>7115</v>
      </c>
      <c r="B1772" t="s">
        <v>34</v>
      </c>
      <c r="C1772" t="s">
        <v>7116</v>
      </c>
      <c r="D1772">
        <v>94247.62</v>
      </c>
      <c r="E1772" t="s">
        <v>7117</v>
      </c>
      <c r="F1772">
        <v>4.05</v>
      </c>
      <c r="G1772">
        <v>0.36000001430511469</v>
      </c>
      <c r="H1772">
        <v>526</v>
      </c>
      <c r="I1772">
        <v>4.690000057220459</v>
      </c>
      <c r="J1772" t="s">
        <v>7118</v>
      </c>
      <c r="K1772">
        <v>1960</v>
      </c>
      <c r="L1772">
        <v>2130</v>
      </c>
      <c r="M1772">
        <v>8.67</v>
      </c>
      <c r="N1772">
        <v>4.41</v>
      </c>
      <c r="O1772">
        <v>1.86</v>
      </c>
      <c r="P1772">
        <v>4.8099999999999996</v>
      </c>
      <c r="Q1772">
        <v>-2.08</v>
      </c>
      <c r="R1772">
        <v>-2.85</v>
      </c>
      <c r="S1772">
        <v>-0.91</v>
      </c>
      <c r="T1772">
        <v>0.88</v>
      </c>
      <c r="U1772">
        <v>1.7</v>
      </c>
      <c r="V1772">
        <v>1.1100000000000001</v>
      </c>
      <c r="W1772">
        <v>1.9</v>
      </c>
      <c r="X1772">
        <v>0.42</v>
      </c>
      <c r="Y1772">
        <v>0.4</v>
      </c>
      <c r="Z1772">
        <v>5.01</v>
      </c>
      <c r="AA1772">
        <v>1.0900000000000001</v>
      </c>
      <c r="AB1772">
        <v>4.33</v>
      </c>
      <c r="AC1772">
        <v>1.0900000000000001</v>
      </c>
      <c r="AD1772">
        <v>6.79</v>
      </c>
      <c r="AE1772">
        <v>2.27</v>
      </c>
      <c r="AF1772">
        <v>3.43</v>
      </c>
      <c r="AG1772" t="str">
        <f>HYPERLINK("https://finance.naver.com/item/fchart.naver?code=016090", "대현 차트보기")</f>
        <v>대현 차트보기</v>
      </c>
    </row>
    <row r="1773" spans="1:33" x14ac:dyDescent="0.3">
      <c r="A1773" t="s">
        <v>7119</v>
      </c>
      <c r="B1773" t="s">
        <v>55</v>
      </c>
      <c r="C1773" t="s">
        <v>7120</v>
      </c>
      <c r="D1773">
        <v>31555.95</v>
      </c>
      <c r="E1773" t="s">
        <v>7121</v>
      </c>
      <c r="F1773">
        <v>0</v>
      </c>
      <c r="G1773">
        <v>0.47999998927116388</v>
      </c>
      <c r="H1773">
        <v>0</v>
      </c>
      <c r="I1773">
        <v>0</v>
      </c>
      <c r="J1773" t="s">
        <v>7122</v>
      </c>
      <c r="K1773">
        <v>1779</v>
      </c>
      <c r="L1773">
        <v>1980</v>
      </c>
      <c r="M1773">
        <v>11.3</v>
      </c>
      <c r="N1773">
        <v>-10</v>
      </c>
      <c r="O1773">
        <v>-7.48</v>
      </c>
      <c r="P1773">
        <v>3.07</v>
      </c>
      <c r="Q1773">
        <v>45.9</v>
      </c>
      <c r="R1773">
        <v>4.22</v>
      </c>
      <c r="S1773">
        <v>-9.73</v>
      </c>
      <c r="T1773">
        <v>4.01</v>
      </c>
      <c r="U1773">
        <v>2.37</v>
      </c>
      <c r="V1773">
        <v>2.5</v>
      </c>
      <c r="W1773">
        <v>4.7300000000000004</v>
      </c>
      <c r="X1773">
        <v>5.75</v>
      </c>
      <c r="Y1773">
        <v>2.97</v>
      </c>
      <c r="Z1773">
        <v>2.4900000000000002</v>
      </c>
      <c r="AA1773">
        <v>3.16</v>
      </c>
      <c r="AB1773">
        <v>1.23</v>
      </c>
      <c r="AC1773">
        <v>9.6999999999999993</v>
      </c>
      <c r="AD1773">
        <v>0.73</v>
      </c>
      <c r="AE1773">
        <v>3.28</v>
      </c>
      <c r="AF1773">
        <v>3.4316666666666671</v>
      </c>
      <c r="AG1773" t="str">
        <f>HYPERLINK("https://finance.naver.com/item/fchart.naver?code=071850", "캐스텍코리아 차트보기")</f>
        <v>캐스텍코리아 차트보기</v>
      </c>
    </row>
    <row r="1774" spans="1:33" x14ac:dyDescent="0.3">
      <c r="A1774" t="s">
        <v>7123</v>
      </c>
      <c r="B1774" t="s">
        <v>55</v>
      </c>
      <c r="C1774" t="s">
        <v>7124</v>
      </c>
      <c r="D1774">
        <v>76416.479999999996</v>
      </c>
      <c r="E1774" t="s">
        <v>7125</v>
      </c>
      <c r="F1774">
        <v>9.4</v>
      </c>
      <c r="G1774">
        <v>0.76999998092651367</v>
      </c>
      <c r="H1774">
        <v>141</v>
      </c>
      <c r="I1774">
        <v>3.7699999809265141</v>
      </c>
      <c r="J1774" t="s">
        <v>7126</v>
      </c>
      <c r="K1774">
        <v>1760</v>
      </c>
      <c r="L1774">
        <v>1326</v>
      </c>
      <c r="M1774">
        <v>-24.66</v>
      </c>
      <c r="N1774">
        <v>-0.38</v>
      </c>
      <c r="O1774">
        <v>-7.47</v>
      </c>
      <c r="P1774">
        <v>-5.89</v>
      </c>
      <c r="Q1774">
        <v>-2.99</v>
      </c>
      <c r="R1774">
        <v>-8.2200000000000006</v>
      </c>
      <c r="S1774">
        <v>-7.95</v>
      </c>
      <c r="T1774">
        <v>1.27</v>
      </c>
      <c r="U1774">
        <v>1.85</v>
      </c>
      <c r="V1774">
        <v>1.62</v>
      </c>
      <c r="W1774">
        <v>3.12</v>
      </c>
      <c r="X1774">
        <v>1.22</v>
      </c>
      <c r="Y1774">
        <v>1.62</v>
      </c>
      <c r="Z1774">
        <v>0.3</v>
      </c>
      <c r="AA1774">
        <v>4.04</v>
      </c>
      <c r="AB1774">
        <v>3.64</v>
      </c>
      <c r="AC1774">
        <v>0.96</v>
      </c>
      <c r="AD1774">
        <v>6.74</v>
      </c>
      <c r="AE1774">
        <v>4.91</v>
      </c>
      <c r="AF1774">
        <v>3.4316666666666671</v>
      </c>
      <c r="AG1774" t="str">
        <f>HYPERLINK("https://finance.naver.com/item/fchart.naver?code=277410", "인산가 차트보기")</f>
        <v>인산가 차트보기</v>
      </c>
    </row>
    <row r="1775" spans="1:33" x14ac:dyDescent="0.3">
      <c r="A1775" t="s">
        <v>7127</v>
      </c>
      <c r="B1775" t="s">
        <v>34</v>
      </c>
      <c r="C1775" t="s">
        <v>7128</v>
      </c>
      <c r="D1775">
        <v>194340.19</v>
      </c>
      <c r="E1775" t="s">
        <v>7129</v>
      </c>
      <c r="F1775">
        <v>4.49</v>
      </c>
      <c r="G1775">
        <v>4.0399999618530273</v>
      </c>
      <c r="H1775">
        <v>2494</v>
      </c>
      <c r="I1775">
        <v>0</v>
      </c>
      <c r="J1775" t="s">
        <v>7130</v>
      </c>
      <c r="K1775">
        <v>13210</v>
      </c>
      <c r="L1775">
        <v>11200</v>
      </c>
      <c r="M1775">
        <v>-15.22</v>
      </c>
      <c r="N1775">
        <v>1.63</v>
      </c>
      <c r="O1775">
        <v>10.57</v>
      </c>
      <c r="P1775">
        <v>-5.75</v>
      </c>
      <c r="Q1775">
        <v>-0.19</v>
      </c>
      <c r="R1775">
        <v>-11.75</v>
      </c>
      <c r="S1775">
        <v>-8.94</v>
      </c>
      <c r="T1775">
        <v>2.84</v>
      </c>
      <c r="U1775">
        <v>2.2400000000000002</v>
      </c>
      <c r="V1775">
        <v>2.13</v>
      </c>
      <c r="W1775">
        <v>3.25</v>
      </c>
      <c r="X1775">
        <v>1.38</v>
      </c>
      <c r="Y1775">
        <v>2.2200000000000002</v>
      </c>
      <c r="Z1775">
        <v>0.56999999999999995</v>
      </c>
      <c r="AA1775">
        <v>4.72</v>
      </c>
      <c r="AB1775">
        <v>2.7</v>
      </c>
      <c r="AC1775">
        <v>0.06</v>
      </c>
      <c r="AD1775">
        <v>8.51</v>
      </c>
      <c r="AE1775">
        <v>4.03</v>
      </c>
      <c r="AF1775">
        <v>3.4316666666666671</v>
      </c>
      <c r="AG1775" t="str">
        <f>HYPERLINK("https://finance.naver.com/item/fchart.naver?code=272450", "진에어 차트보기")</f>
        <v>진에어 차트보기</v>
      </c>
    </row>
    <row r="1776" spans="1:33" x14ac:dyDescent="0.3">
      <c r="A1776" t="s">
        <v>7131</v>
      </c>
      <c r="B1776" t="s">
        <v>55</v>
      </c>
      <c r="C1776" t="s">
        <v>7132</v>
      </c>
      <c r="D1776">
        <v>53974.43</v>
      </c>
      <c r="E1776" t="s">
        <v>7133</v>
      </c>
      <c r="F1776">
        <v>0</v>
      </c>
      <c r="G1776">
        <v>2.5999999046325679</v>
      </c>
      <c r="H1776">
        <v>0</v>
      </c>
      <c r="I1776">
        <v>0</v>
      </c>
      <c r="J1776" t="s">
        <v>7134</v>
      </c>
      <c r="K1776">
        <v>6370</v>
      </c>
      <c r="L1776">
        <v>2160</v>
      </c>
      <c r="M1776">
        <v>-66.09</v>
      </c>
      <c r="N1776">
        <v>-5.68</v>
      </c>
      <c r="O1776">
        <v>-16.3</v>
      </c>
      <c r="P1776">
        <v>-15.16</v>
      </c>
      <c r="Q1776">
        <v>-3.61</v>
      </c>
      <c r="R1776">
        <v>-17.29</v>
      </c>
      <c r="S1776">
        <v>-37.93</v>
      </c>
      <c r="T1776">
        <v>3.16</v>
      </c>
      <c r="U1776">
        <v>2.63</v>
      </c>
      <c r="V1776">
        <v>2.66</v>
      </c>
      <c r="W1776">
        <v>8.39</v>
      </c>
      <c r="X1776">
        <v>7.55</v>
      </c>
      <c r="Y1776">
        <v>9.08</v>
      </c>
      <c r="Z1776">
        <v>1.8</v>
      </c>
      <c r="AA1776">
        <v>6.2</v>
      </c>
      <c r="AB1776">
        <v>5.7</v>
      </c>
      <c r="AC1776">
        <v>0.43</v>
      </c>
      <c r="AD1776">
        <v>2.29</v>
      </c>
      <c r="AE1776">
        <v>4.18</v>
      </c>
      <c r="AF1776">
        <v>3.4333333333333331</v>
      </c>
      <c r="AG1776" t="str">
        <f>HYPERLINK("https://finance.naver.com/item/fchart.naver?code=110020", "전진바이오팜 차트보기")</f>
        <v>전진바이오팜 차트보기</v>
      </c>
    </row>
    <row r="1777" spans="1:33" x14ac:dyDescent="0.3">
      <c r="A1777" t="s">
        <v>7135</v>
      </c>
      <c r="B1777" t="s">
        <v>55</v>
      </c>
      <c r="C1777" t="s">
        <v>7136</v>
      </c>
      <c r="D1777">
        <v>13294.9</v>
      </c>
      <c r="E1777" t="s">
        <v>7137</v>
      </c>
      <c r="F1777">
        <v>0</v>
      </c>
      <c r="G1777">
        <v>0.36000001430511469</v>
      </c>
      <c r="H1777">
        <v>0</v>
      </c>
      <c r="I1777">
        <v>0</v>
      </c>
      <c r="J1777" t="s">
        <v>7138</v>
      </c>
      <c r="K1777">
        <v>3555</v>
      </c>
      <c r="L1777">
        <v>3295</v>
      </c>
      <c r="M1777">
        <v>-7.31</v>
      </c>
      <c r="N1777">
        <v>-1.79</v>
      </c>
      <c r="O1777">
        <v>-6.22</v>
      </c>
      <c r="P1777">
        <v>-4.8899999999999997</v>
      </c>
      <c r="Q1777">
        <v>14.68</v>
      </c>
      <c r="R1777">
        <v>4.74</v>
      </c>
      <c r="S1777">
        <v>-9.61</v>
      </c>
      <c r="T1777">
        <v>0.77</v>
      </c>
      <c r="U1777">
        <v>1.89</v>
      </c>
      <c r="V1777">
        <v>2.58</v>
      </c>
      <c r="W1777">
        <v>3.09</v>
      </c>
      <c r="X1777">
        <v>2.2599999999999998</v>
      </c>
      <c r="Y1777">
        <v>1.54</v>
      </c>
      <c r="Z1777">
        <v>2.3199999999999998</v>
      </c>
      <c r="AA1777">
        <v>3.29</v>
      </c>
      <c r="AB1777">
        <v>1.9</v>
      </c>
      <c r="AC1777">
        <v>4.75</v>
      </c>
      <c r="AD1777">
        <v>2.1</v>
      </c>
      <c r="AE1777">
        <v>6.24</v>
      </c>
      <c r="AF1777">
        <v>3.433333333333334</v>
      </c>
      <c r="AG1777" t="str">
        <f>HYPERLINK("https://finance.naver.com/item/fchart.naver?code=033560", "블루콤 차트보기")</f>
        <v>블루콤 차트보기</v>
      </c>
    </row>
    <row r="1778" spans="1:33" x14ac:dyDescent="0.3">
      <c r="A1778" t="s">
        <v>7139</v>
      </c>
      <c r="B1778" t="s">
        <v>55</v>
      </c>
      <c r="C1778" t="s">
        <v>7140</v>
      </c>
      <c r="D1778">
        <v>121078.14</v>
      </c>
      <c r="E1778" t="s">
        <v>7141</v>
      </c>
      <c r="F1778">
        <v>0</v>
      </c>
      <c r="G1778">
        <v>0.72000002861022949</v>
      </c>
      <c r="H1778">
        <v>0</v>
      </c>
      <c r="I1778">
        <v>0</v>
      </c>
      <c r="J1778" t="s">
        <v>7142</v>
      </c>
      <c r="K1778">
        <v>2010</v>
      </c>
      <c r="L1778">
        <v>1128</v>
      </c>
      <c r="M1778">
        <v>-43.88</v>
      </c>
      <c r="N1778">
        <v>-9.6199999999999992</v>
      </c>
      <c r="O1778">
        <v>-3.54</v>
      </c>
      <c r="P1778">
        <v>-3.52</v>
      </c>
      <c r="Q1778">
        <v>-4.08</v>
      </c>
      <c r="R1778">
        <v>-16.16</v>
      </c>
      <c r="S1778">
        <v>-7.76</v>
      </c>
      <c r="T1778">
        <v>2.89</v>
      </c>
      <c r="U1778">
        <v>1.71</v>
      </c>
      <c r="V1778">
        <v>1.3</v>
      </c>
      <c r="W1778">
        <v>2.4500000000000002</v>
      </c>
      <c r="X1778">
        <v>2.0499999999999998</v>
      </c>
      <c r="Y1778">
        <v>2.64</v>
      </c>
      <c r="Z1778">
        <v>3.33</v>
      </c>
      <c r="AA1778">
        <v>2.0699999999999998</v>
      </c>
      <c r="AB1778">
        <v>2.71</v>
      </c>
      <c r="AC1778">
        <v>1.67</v>
      </c>
      <c r="AD1778">
        <v>7.88</v>
      </c>
      <c r="AE1778">
        <v>2.94</v>
      </c>
      <c r="AF1778">
        <v>3.433333333333334</v>
      </c>
      <c r="AG1778" t="str">
        <f>HYPERLINK("https://finance.naver.com/item/fchart.naver?code=089230", "THE E&amp;M 차트보기")</f>
        <v>THE E&amp;M 차트보기</v>
      </c>
    </row>
    <row r="1779" spans="1:33" x14ac:dyDescent="0.3">
      <c r="A1779" t="s">
        <v>7143</v>
      </c>
      <c r="B1779" t="s">
        <v>55</v>
      </c>
      <c r="C1779" t="s">
        <v>7144</v>
      </c>
      <c r="D1779">
        <v>29942.05</v>
      </c>
      <c r="E1779" t="s">
        <v>7145</v>
      </c>
      <c r="F1779">
        <v>13.19</v>
      </c>
      <c r="G1779">
        <v>2.059999942779541</v>
      </c>
      <c r="H1779">
        <v>976</v>
      </c>
      <c r="I1779">
        <v>0</v>
      </c>
      <c r="J1779" t="s">
        <v>7146</v>
      </c>
      <c r="K1779">
        <v>34900</v>
      </c>
      <c r="L1779">
        <v>12870</v>
      </c>
      <c r="M1779">
        <v>-63.12</v>
      </c>
      <c r="N1779">
        <v>-15.16</v>
      </c>
      <c r="O1779">
        <v>-12.28</v>
      </c>
      <c r="P1779">
        <v>-0.11</v>
      </c>
      <c r="Q1779">
        <v>-15.85</v>
      </c>
      <c r="R1779">
        <v>-21.42</v>
      </c>
      <c r="S1779">
        <v>-14.18</v>
      </c>
      <c r="T1779">
        <v>3.2</v>
      </c>
      <c r="U1779">
        <v>3.52</v>
      </c>
      <c r="V1779">
        <v>4.63</v>
      </c>
      <c r="W1779">
        <v>5.53</v>
      </c>
      <c r="X1779">
        <v>4.1399999999999997</v>
      </c>
      <c r="Y1779">
        <v>3.28</v>
      </c>
      <c r="Z1779">
        <v>4.74</v>
      </c>
      <c r="AA1779">
        <v>3.49</v>
      </c>
      <c r="AB1779">
        <v>0.02</v>
      </c>
      <c r="AC1779">
        <v>2.87</v>
      </c>
      <c r="AD1779">
        <v>5.17</v>
      </c>
      <c r="AE1779">
        <v>4.32</v>
      </c>
      <c r="AF1779">
        <v>3.4350000000000001</v>
      </c>
      <c r="AG1779" t="str">
        <f>HYPERLINK("https://finance.naver.com/item/fchart.naver?code=425420", "티에프이 차트보기")</f>
        <v>티에프이 차트보기</v>
      </c>
    </row>
    <row r="1780" spans="1:33" x14ac:dyDescent="0.3">
      <c r="A1780" t="s">
        <v>7147</v>
      </c>
      <c r="B1780" t="s">
        <v>55</v>
      </c>
      <c r="C1780" t="s">
        <v>7148</v>
      </c>
      <c r="D1780">
        <v>20689.669999999998</v>
      </c>
      <c r="E1780" t="s">
        <v>7149</v>
      </c>
      <c r="F1780">
        <v>7.61</v>
      </c>
      <c r="G1780">
        <v>0.25999999046325678</v>
      </c>
      <c r="H1780">
        <v>175</v>
      </c>
      <c r="I1780">
        <v>0</v>
      </c>
      <c r="J1780" t="s">
        <v>7150</v>
      </c>
      <c r="K1780">
        <v>1878</v>
      </c>
      <c r="L1780">
        <v>1332</v>
      </c>
      <c r="M1780">
        <v>-29.07</v>
      </c>
      <c r="N1780">
        <v>6.39</v>
      </c>
      <c r="O1780">
        <v>0.23</v>
      </c>
      <c r="P1780">
        <v>-3.12</v>
      </c>
      <c r="Q1780">
        <v>-6.31</v>
      </c>
      <c r="R1780">
        <v>-10.16</v>
      </c>
      <c r="S1780">
        <v>-9.75</v>
      </c>
      <c r="T1780">
        <v>2.23</v>
      </c>
      <c r="U1780">
        <v>1.81</v>
      </c>
      <c r="V1780">
        <v>2.84</v>
      </c>
      <c r="W1780">
        <v>2.68</v>
      </c>
      <c r="X1780">
        <v>1.5</v>
      </c>
      <c r="Y1780">
        <v>1.32</v>
      </c>
      <c r="Z1780">
        <v>2.87</v>
      </c>
      <c r="AA1780">
        <v>0.13</v>
      </c>
      <c r="AB1780">
        <v>1.1000000000000001</v>
      </c>
      <c r="AC1780">
        <v>2.35</v>
      </c>
      <c r="AD1780">
        <v>6.77</v>
      </c>
      <c r="AE1780">
        <v>7.39</v>
      </c>
      <c r="AF1780">
        <v>3.4350000000000001</v>
      </c>
      <c r="AG1780" t="str">
        <f>HYPERLINK("https://finance.naver.com/item/fchart.naver?code=073540", "에프알텍 차트보기")</f>
        <v>에프알텍 차트보기</v>
      </c>
    </row>
    <row r="1781" spans="1:33" x14ac:dyDescent="0.3">
      <c r="A1781" t="s">
        <v>7151</v>
      </c>
      <c r="B1781" t="s">
        <v>55</v>
      </c>
      <c r="C1781" t="s">
        <v>7152</v>
      </c>
      <c r="D1781">
        <v>7400.29</v>
      </c>
      <c r="E1781" t="s">
        <v>7153</v>
      </c>
      <c r="F1781">
        <v>0</v>
      </c>
      <c r="G1781">
        <v>1.929999947547913</v>
      </c>
      <c r="H1781">
        <v>0</v>
      </c>
      <c r="I1781">
        <v>0</v>
      </c>
      <c r="J1781" t="s">
        <v>7154</v>
      </c>
      <c r="K1781">
        <v>5730</v>
      </c>
      <c r="L1781">
        <v>5500</v>
      </c>
      <c r="M1781">
        <v>-4.01</v>
      </c>
      <c r="N1781">
        <v>-1.26</v>
      </c>
      <c r="O1781">
        <v>-13.52</v>
      </c>
      <c r="P1781">
        <v>-6.28</v>
      </c>
      <c r="Q1781">
        <v>20.22</v>
      </c>
      <c r="R1781">
        <v>18.87</v>
      </c>
      <c r="S1781">
        <v>-7.61</v>
      </c>
      <c r="T1781">
        <v>1.05</v>
      </c>
      <c r="U1781">
        <v>2.1800000000000002</v>
      </c>
      <c r="V1781">
        <v>5.4</v>
      </c>
      <c r="W1781">
        <v>5.86</v>
      </c>
      <c r="X1781">
        <v>3.38</v>
      </c>
      <c r="Y1781">
        <v>2.52</v>
      </c>
      <c r="Z1781">
        <v>1.2</v>
      </c>
      <c r="AA1781">
        <v>6.2</v>
      </c>
      <c r="AB1781">
        <v>1.1599999999999999</v>
      </c>
      <c r="AC1781">
        <v>3.45</v>
      </c>
      <c r="AD1781">
        <v>5.58</v>
      </c>
      <c r="AE1781">
        <v>3.02</v>
      </c>
      <c r="AF1781">
        <v>3.4350000000000001</v>
      </c>
      <c r="AG1781" t="str">
        <f>HYPERLINK("https://finance.naver.com/item/fchart.naver?code=372800", "아이티아이즈 차트보기")</f>
        <v>아이티아이즈 차트보기</v>
      </c>
    </row>
    <row r="1782" spans="1:33" x14ac:dyDescent="0.3">
      <c r="A1782" t="s">
        <v>7155</v>
      </c>
      <c r="B1782" t="s">
        <v>34</v>
      </c>
      <c r="C1782" t="s">
        <v>7156</v>
      </c>
      <c r="D1782">
        <v>220119.05</v>
      </c>
      <c r="E1782" t="s">
        <v>7157</v>
      </c>
      <c r="F1782">
        <v>33.130000000000003</v>
      </c>
      <c r="G1782">
        <v>5.5100002288818359</v>
      </c>
      <c r="H1782">
        <v>8028</v>
      </c>
      <c r="I1782">
        <v>0.73000001907348633</v>
      </c>
      <c r="J1782" t="s">
        <v>7158</v>
      </c>
      <c r="K1782">
        <v>162000</v>
      </c>
      <c r="L1782">
        <v>266000</v>
      </c>
      <c r="M1782">
        <v>64.2</v>
      </c>
      <c r="N1782">
        <v>9.4700000000000006</v>
      </c>
      <c r="O1782">
        <v>13.24</v>
      </c>
      <c r="P1782">
        <v>9.7799999999999994</v>
      </c>
      <c r="Q1782">
        <v>-4.6500000000000004</v>
      </c>
      <c r="R1782">
        <v>-9.5</v>
      </c>
      <c r="S1782">
        <v>35.549999999999997</v>
      </c>
      <c r="T1782">
        <v>3.24</v>
      </c>
      <c r="U1782">
        <v>3.1</v>
      </c>
      <c r="V1782">
        <v>3.39</v>
      </c>
      <c r="W1782">
        <v>3.35</v>
      </c>
      <c r="X1782">
        <v>4.68</v>
      </c>
      <c r="Y1782">
        <v>4.9800000000000004</v>
      </c>
      <c r="Z1782">
        <v>2.92</v>
      </c>
      <c r="AA1782">
        <v>4.2699999999999996</v>
      </c>
      <c r="AB1782">
        <v>2.88</v>
      </c>
      <c r="AC1782">
        <v>1.39</v>
      </c>
      <c r="AD1782">
        <v>2.0299999999999998</v>
      </c>
      <c r="AE1782">
        <v>7.14</v>
      </c>
      <c r="AF1782">
        <v>3.438333333333333</v>
      </c>
      <c r="AG1782" t="str">
        <f>HYPERLINK("https://finance.naver.com/item/fchart.naver?code=079550", "LIG넥스원 차트보기")</f>
        <v>LIG넥스원 차트보기</v>
      </c>
    </row>
    <row r="1783" spans="1:33" x14ac:dyDescent="0.3">
      <c r="A1783" t="s">
        <v>7159</v>
      </c>
      <c r="B1783" t="s">
        <v>55</v>
      </c>
      <c r="C1783" t="s">
        <v>7160</v>
      </c>
      <c r="D1783">
        <v>11438.19</v>
      </c>
      <c r="E1783" t="s">
        <v>7161</v>
      </c>
      <c r="F1783">
        <v>0</v>
      </c>
      <c r="G1783">
        <v>0</v>
      </c>
      <c r="H1783">
        <v>0</v>
      </c>
      <c r="I1783">
        <v>0</v>
      </c>
      <c r="J1783" t="s">
        <v>7162</v>
      </c>
      <c r="K1783">
        <v>2030</v>
      </c>
      <c r="L1783">
        <v>2025</v>
      </c>
      <c r="M1783">
        <v>-0.25</v>
      </c>
      <c r="N1783">
        <v>0.25</v>
      </c>
      <c r="O1783">
        <v>0.5</v>
      </c>
      <c r="P1783">
        <v>-0.99</v>
      </c>
      <c r="Q1783">
        <v>-1.94</v>
      </c>
      <c r="R1783">
        <v>1.72</v>
      </c>
      <c r="S1783">
        <v>-1.22</v>
      </c>
      <c r="T1783">
        <v>0.46</v>
      </c>
      <c r="U1783">
        <v>0.38</v>
      </c>
      <c r="V1783">
        <v>0.33</v>
      </c>
      <c r="W1783">
        <v>0.57999999999999996</v>
      </c>
      <c r="X1783">
        <v>0.26</v>
      </c>
      <c r="Y1783">
        <v>0.21</v>
      </c>
      <c r="Z1783">
        <v>0.54</v>
      </c>
      <c r="AA1783">
        <v>1.32</v>
      </c>
      <c r="AB1783">
        <v>3</v>
      </c>
      <c r="AC1783">
        <v>3.34</v>
      </c>
      <c r="AD1783">
        <v>6.62</v>
      </c>
      <c r="AE1783">
        <v>5.81</v>
      </c>
      <c r="AF1783">
        <v>3.438333333333333</v>
      </c>
      <c r="AG1783" t="str">
        <f>HYPERLINK("https://finance.naver.com/item/fchart.naver?code=474490", "유안타제16호스팩 차트보기")</f>
        <v>유안타제16호스팩 차트보기</v>
      </c>
    </row>
    <row r="1784" spans="1:33" x14ac:dyDescent="0.3">
      <c r="A1784" t="s">
        <v>7163</v>
      </c>
      <c r="B1784" t="s">
        <v>55</v>
      </c>
      <c r="C1784" t="s">
        <v>7164</v>
      </c>
      <c r="D1784">
        <v>115216.67</v>
      </c>
      <c r="E1784" t="s">
        <v>7165</v>
      </c>
      <c r="F1784">
        <v>0</v>
      </c>
      <c r="G1784">
        <v>1.1499999761581421</v>
      </c>
      <c r="H1784">
        <v>0</v>
      </c>
      <c r="I1784">
        <v>0</v>
      </c>
      <c r="J1784" t="s">
        <v>7166</v>
      </c>
      <c r="K1784">
        <v>7350</v>
      </c>
      <c r="L1784">
        <v>2910</v>
      </c>
      <c r="M1784">
        <v>-60.41</v>
      </c>
      <c r="N1784">
        <v>-6.88</v>
      </c>
      <c r="O1784">
        <v>-7.71</v>
      </c>
      <c r="P1784">
        <v>21.99</v>
      </c>
      <c r="Q1784">
        <v>-29.47</v>
      </c>
      <c r="R1784">
        <v>-27.14</v>
      </c>
      <c r="S1784">
        <v>-9.43</v>
      </c>
      <c r="T1784">
        <v>4.4000000000000004</v>
      </c>
      <c r="U1784">
        <v>4.97</v>
      </c>
      <c r="V1784">
        <v>7.49</v>
      </c>
      <c r="W1784">
        <v>7.61</v>
      </c>
      <c r="X1784">
        <v>3.49</v>
      </c>
      <c r="Y1784">
        <v>3.21</v>
      </c>
      <c r="Z1784">
        <v>1.56</v>
      </c>
      <c r="AA1784">
        <v>1.55</v>
      </c>
      <c r="AB1784">
        <v>2.94</v>
      </c>
      <c r="AC1784">
        <v>3.87</v>
      </c>
      <c r="AD1784">
        <v>7.78</v>
      </c>
      <c r="AE1784">
        <v>2.94</v>
      </c>
      <c r="AF1784">
        <v>3.4400000000000008</v>
      </c>
      <c r="AG1784" t="str">
        <f>HYPERLINK("https://finance.naver.com/item/fchart.naver?code=101390", "아이엠 차트보기")</f>
        <v>아이엠 차트보기</v>
      </c>
    </row>
    <row r="1785" spans="1:33" x14ac:dyDescent="0.3">
      <c r="A1785" t="s">
        <v>7167</v>
      </c>
      <c r="B1785" t="s">
        <v>55</v>
      </c>
      <c r="C1785" t="s">
        <v>7168</v>
      </c>
      <c r="D1785">
        <v>221805.1</v>
      </c>
      <c r="E1785" t="s">
        <v>7169</v>
      </c>
      <c r="F1785">
        <v>0</v>
      </c>
      <c r="G1785">
        <v>5.4200000762939453</v>
      </c>
      <c r="H1785">
        <v>0</v>
      </c>
      <c r="I1785">
        <v>0</v>
      </c>
      <c r="J1785" t="s">
        <v>7170</v>
      </c>
      <c r="K1785">
        <v>4400</v>
      </c>
      <c r="L1785">
        <v>4520</v>
      </c>
      <c r="M1785">
        <v>2.73</v>
      </c>
      <c r="N1785">
        <v>3.43</v>
      </c>
      <c r="O1785">
        <v>31.35</v>
      </c>
      <c r="P1785">
        <v>5.75</v>
      </c>
      <c r="Q1785">
        <v>6.71</v>
      </c>
      <c r="R1785">
        <v>-18.809999999999999</v>
      </c>
      <c r="S1785">
        <v>-9.39</v>
      </c>
      <c r="T1785">
        <v>4.59</v>
      </c>
      <c r="U1785">
        <v>3.86</v>
      </c>
      <c r="V1785">
        <v>2.94</v>
      </c>
      <c r="W1785">
        <v>3</v>
      </c>
      <c r="X1785">
        <v>2.85</v>
      </c>
      <c r="Y1785">
        <v>9.5399999999999991</v>
      </c>
      <c r="Z1785">
        <v>0.75</v>
      </c>
      <c r="AA1785">
        <v>8.1199999999999992</v>
      </c>
      <c r="AB1785">
        <v>1.96</v>
      </c>
      <c r="AC1785">
        <v>2.2400000000000002</v>
      </c>
      <c r="AD1785">
        <v>6.6</v>
      </c>
      <c r="AE1785">
        <v>0.98</v>
      </c>
      <c r="AF1785">
        <v>3.441666666666666</v>
      </c>
      <c r="AG1785" t="str">
        <f>HYPERLINK("https://finance.naver.com/item/fchart.naver?code=317530", "캐리소프트 차트보기")</f>
        <v>캐리소프트 차트보기</v>
      </c>
    </row>
    <row r="1786" spans="1:33" x14ac:dyDescent="0.3">
      <c r="A1786" t="s">
        <v>7171</v>
      </c>
      <c r="B1786" t="s">
        <v>55</v>
      </c>
      <c r="C1786" t="s">
        <v>7172</v>
      </c>
      <c r="D1786">
        <v>53153.9</v>
      </c>
      <c r="E1786" t="s">
        <v>7173</v>
      </c>
      <c r="F1786">
        <v>8.91</v>
      </c>
      <c r="G1786">
        <v>1</v>
      </c>
      <c r="H1786">
        <v>1681</v>
      </c>
      <c r="I1786">
        <v>3.339999914169312</v>
      </c>
      <c r="J1786" t="s">
        <v>7174</v>
      </c>
      <c r="K1786">
        <v>13230</v>
      </c>
      <c r="L1786">
        <v>14980</v>
      </c>
      <c r="M1786">
        <v>13.23</v>
      </c>
      <c r="N1786">
        <v>16.3</v>
      </c>
      <c r="O1786">
        <v>-1.96</v>
      </c>
      <c r="P1786">
        <v>-1.62</v>
      </c>
      <c r="Q1786">
        <v>-5.14</v>
      </c>
      <c r="R1786">
        <v>-4.9000000000000004</v>
      </c>
      <c r="S1786">
        <v>11.73</v>
      </c>
      <c r="T1786">
        <v>5.46</v>
      </c>
      <c r="U1786">
        <v>0.52</v>
      </c>
      <c r="V1786">
        <v>1.1299999999999999</v>
      </c>
      <c r="W1786">
        <v>1.97</v>
      </c>
      <c r="X1786">
        <v>2.1</v>
      </c>
      <c r="Y1786">
        <v>1.56</v>
      </c>
      <c r="Z1786">
        <v>2.99</v>
      </c>
      <c r="AA1786">
        <v>3.77</v>
      </c>
      <c r="AB1786">
        <v>1.43</v>
      </c>
      <c r="AC1786">
        <v>2.61</v>
      </c>
      <c r="AD1786">
        <v>2.33</v>
      </c>
      <c r="AE1786">
        <v>7.52</v>
      </c>
      <c r="AF1786">
        <v>3.441666666666666</v>
      </c>
      <c r="AG1786" t="str">
        <f>HYPERLINK("https://finance.naver.com/item/fchart.naver?code=136540", "윈스 차트보기")</f>
        <v>윈스 차트보기</v>
      </c>
    </row>
    <row r="1787" spans="1:33" x14ac:dyDescent="0.3">
      <c r="A1787" t="s">
        <v>7175</v>
      </c>
      <c r="B1787" t="s">
        <v>34</v>
      </c>
      <c r="C1787" t="s">
        <v>7176</v>
      </c>
      <c r="D1787">
        <v>35323.379999999997</v>
      </c>
      <c r="E1787" t="s">
        <v>7177</v>
      </c>
      <c r="F1787">
        <v>28.15</v>
      </c>
      <c r="G1787">
        <v>0.41999998688697809</v>
      </c>
      <c r="H1787">
        <v>73</v>
      </c>
      <c r="I1787">
        <v>2.4300000667572021</v>
      </c>
      <c r="J1787" t="s">
        <v>7178</v>
      </c>
      <c r="K1787">
        <v>2995</v>
      </c>
      <c r="L1787">
        <v>2055</v>
      </c>
      <c r="M1787">
        <v>-31.39</v>
      </c>
      <c r="N1787">
        <v>0.74</v>
      </c>
      <c r="O1787">
        <v>-9.89</v>
      </c>
      <c r="P1787">
        <v>-1.08</v>
      </c>
      <c r="Q1787">
        <v>-5.8</v>
      </c>
      <c r="R1787">
        <v>-5.33</v>
      </c>
      <c r="S1787">
        <v>-3.8</v>
      </c>
      <c r="T1787">
        <v>1.79</v>
      </c>
      <c r="U1787">
        <v>1.29</v>
      </c>
      <c r="V1787">
        <v>1.62</v>
      </c>
      <c r="W1787">
        <v>3.82</v>
      </c>
      <c r="X1787">
        <v>0.86</v>
      </c>
      <c r="Y1787">
        <v>0.91</v>
      </c>
      <c r="Z1787">
        <v>0.41</v>
      </c>
      <c r="AA1787">
        <v>7.67</v>
      </c>
      <c r="AB1787">
        <v>0.67</v>
      </c>
      <c r="AC1787">
        <v>1.52</v>
      </c>
      <c r="AD1787">
        <v>6.2</v>
      </c>
      <c r="AE1787">
        <v>4.18</v>
      </c>
      <c r="AF1787">
        <v>3.441666666666666</v>
      </c>
      <c r="AG1787" t="str">
        <f>HYPERLINK("https://finance.naver.com/item/fchart.naver?code=011280", "태림포장 차트보기")</f>
        <v>태림포장 차트보기</v>
      </c>
    </row>
    <row r="1788" spans="1:33" x14ac:dyDescent="0.3">
      <c r="A1788" t="s">
        <v>7179</v>
      </c>
      <c r="B1788" t="s">
        <v>34</v>
      </c>
      <c r="C1788" t="s">
        <v>7180</v>
      </c>
      <c r="D1788">
        <v>3220.86</v>
      </c>
      <c r="E1788" t="s">
        <v>7181</v>
      </c>
      <c r="F1788">
        <v>0</v>
      </c>
      <c r="G1788">
        <v>0</v>
      </c>
      <c r="H1788">
        <v>0</v>
      </c>
      <c r="I1788">
        <v>5.4899997711181641</v>
      </c>
      <c r="J1788" t="s">
        <v>7182</v>
      </c>
      <c r="K1788">
        <v>31900</v>
      </c>
      <c r="L1788">
        <v>31900</v>
      </c>
      <c r="M1788">
        <v>0</v>
      </c>
      <c r="N1788">
        <v>3.07</v>
      </c>
      <c r="O1788">
        <v>-2.06</v>
      </c>
      <c r="P1788">
        <v>-2.59</v>
      </c>
      <c r="Q1788">
        <v>-3.38</v>
      </c>
      <c r="R1788">
        <v>4.62</v>
      </c>
      <c r="S1788">
        <v>-0.91</v>
      </c>
      <c r="T1788">
        <v>1.37</v>
      </c>
      <c r="U1788">
        <v>0.46</v>
      </c>
      <c r="V1788">
        <v>0.61</v>
      </c>
      <c r="W1788">
        <v>1.63</v>
      </c>
      <c r="X1788">
        <v>0.67</v>
      </c>
      <c r="Y1788">
        <v>1.28</v>
      </c>
      <c r="Z1788">
        <v>2.2400000000000002</v>
      </c>
      <c r="AA1788">
        <v>4.4800000000000004</v>
      </c>
      <c r="AB1788">
        <v>4.25</v>
      </c>
      <c r="AC1788">
        <v>2.0699999999999998</v>
      </c>
      <c r="AD1788">
        <v>6.9</v>
      </c>
      <c r="AE1788">
        <v>0.71</v>
      </c>
      <c r="AF1788">
        <v>3.4416666666666669</v>
      </c>
      <c r="AG1788" t="str">
        <f>HYPERLINK("https://finance.naver.com/item/fchart.naver?code=006125", "SK디스커버리우 차트보기")</f>
        <v>SK디스커버리우 차트보기</v>
      </c>
    </row>
    <row r="1789" spans="1:33" x14ac:dyDescent="0.3">
      <c r="A1789" t="s">
        <v>7183</v>
      </c>
      <c r="B1789" t="s">
        <v>55</v>
      </c>
      <c r="C1789" t="s">
        <v>7184</v>
      </c>
      <c r="D1789">
        <v>286717.09999999998</v>
      </c>
      <c r="E1789" t="s">
        <v>7185</v>
      </c>
      <c r="F1789">
        <v>34.46</v>
      </c>
      <c r="G1789">
        <v>1.5099999904632571</v>
      </c>
      <c r="H1789">
        <v>65</v>
      </c>
      <c r="I1789">
        <v>0</v>
      </c>
      <c r="J1789" t="s">
        <v>7186</v>
      </c>
      <c r="K1789">
        <v>2815</v>
      </c>
      <c r="L1789">
        <v>2240</v>
      </c>
      <c r="M1789">
        <v>-20.43</v>
      </c>
      <c r="N1789">
        <v>9.8000000000000007</v>
      </c>
      <c r="O1789">
        <v>-17.059999999999999</v>
      </c>
      <c r="P1789">
        <v>10.31</v>
      </c>
      <c r="Q1789">
        <v>-11.39</v>
      </c>
      <c r="R1789">
        <v>-15.04</v>
      </c>
      <c r="S1789">
        <v>-1.58</v>
      </c>
      <c r="T1789">
        <v>3.65</v>
      </c>
      <c r="U1789">
        <v>2.3199999999999998</v>
      </c>
      <c r="V1789">
        <v>4.42</v>
      </c>
      <c r="W1789">
        <v>4.6100000000000003</v>
      </c>
      <c r="X1789">
        <v>2.91</v>
      </c>
      <c r="Y1789">
        <v>2.38</v>
      </c>
      <c r="Z1789">
        <v>2.68</v>
      </c>
      <c r="AA1789">
        <v>7.35</v>
      </c>
      <c r="AB1789">
        <v>2.33</v>
      </c>
      <c r="AC1789">
        <v>2.4700000000000002</v>
      </c>
      <c r="AD1789">
        <v>5.17</v>
      </c>
      <c r="AE1789">
        <v>0.66</v>
      </c>
      <c r="AF1789">
        <v>3.4433333333333329</v>
      </c>
      <c r="AG1789" t="str">
        <f>HYPERLINK("https://finance.naver.com/item/fchart.naver?code=087260", "모바일어플라이언스 차트보기")</f>
        <v>모바일어플라이언스 차트보기</v>
      </c>
    </row>
    <row r="1790" spans="1:33" x14ac:dyDescent="0.3">
      <c r="A1790" t="s">
        <v>7187</v>
      </c>
      <c r="B1790" t="s">
        <v>55</v>
      </c>
      <c r="C1790" t="s">
        <v>7188</v>
      </c>
      <c r="D1790">
        <v>295398.52</v>
      </c>
      <c r="E1790" t="s">
        <v>7189</v>
      </c>
      <c r="F1790">
        <v>8.41</v>
      </c>
      <c r="G1790">
        <v>0.87000000476837158</v>
      </c>
      <c r="H1790">
        <v>460</v>
      </c>
      <c r="I1790">
        <v>1.2899999618530269</v>
      </c>
      <c r="J1790" t="s">
        <v>7190</v>
      </c>
      <c r="K1790">
        <v>2885</v>
      </c>
      <c r="L1790">
        <v>3870</v>
      </c>
      <c r="M1790">
        <v>34.14</v>
      </c>
      <c r="N1790">
        <v>-5.61</v>
      </c>
      <c r="O1790">
        <v>31.72</v>
      </c>
      <c r="P1790">
        <v>5.62</v>
      </c>
      <c r="Q1790">
        <v>2.56</v>
      </c>
      <c r="R1790">
        <v>-2.37</v>
      </c>
      <c r="S1790">
        <v>8.7799999999999994</v>
      </c>
      <c r="T1790">
        <v>2.44</v>
      </c>
      <c r="U1790">
        <v>3.4</v>
      </c>
      <c r="V1790">
        <v>7.24</v>
      </c>
      <c r="W1790">
        <v>3.15</v>
      </c>
      <c r="X1790">
        <v>1.23</v>
      </c>
      <c r="Y1790">
        <v>1.59</v>
      </c>
      <c r="Z1790">
        <v>2.2999999999999998</v>
      </c>
      <c r="AA1790">
        <v>9.33</v>
      </c>
      <c r="AB1790">
        <v>0.78</v>
      </c>
      <c r="AC1790">
        <v>0.81</v>
      </c>
      <c r="AD1790">
        <v>1.93</v>
      </c>
      <c r="AE1790">
        <v>5.52</v>
      </c>
      <c r="AF1790">
        <v>3.4449999999999998</v>
      </c>
      <c r="AG1790" t="str">
        <f>HYPERLINK("https://finance.naver.com/item/fchart.naver?code=263020", "디케이앤디 차트보기")</f>
        <v>디케이앤디 차트보기</v>
      </c>
    </row>
    <row r="1791" spans="1:33" x14ac:dyDescent="0.3">
      <c r="A1791" t="s">
        <v>7191</v>
      </c>
      <c r="B1791" t="s">
        <v>55</v>
      </c>
      <c r="C1791" t="s">
        <v>7192</v>
      </c>
      <c r="D1791">
        <v>13990.57</v>
      </c>
      <c r="E1791" t="s">
        <v>7193</v>
      </c>
      <c r="F1791">
        <v>0</v>
      </c>
      <c r="G1791">
        <v>0.46000000834465032</v>
      </c>
      <c r="H1791">
        <v>0</v>
      </c>
      <c r="I1791">
        <v>0</v>
      </c>
      <c r="J1791" t="s">
        <v>7194</v>
      </c>
      <c r="K1791">
        <v>3025</v>
      </c>
      <c r="L1791">
        <v>2525</v>
      </c>
      <c r="M1791">
        <v>-16.53</v>
      </c>
      <c r="N1791">
        <v>-5.25</v>
      </c>
      <c r="O1791">
        <v>-10.039999999999999</v>
      </c>
      <c r="P1791">
        <v>5.75</v>
      </c>
      <c r="Q1791">
        <v>1.25</v>
      </c>
      <c r="R1791">
        <v>-6.98</v>
      </c>
      <c r="S1791">
        <v>4.1500000000000004</v>
      </c>
      <c r="T1791">
        <v>2.8</v>
      </c>
      <c r="U1791">
        <v>1.31</v>
      </c>
      <c r="V1791">
        <v>1.88</v>
      </c>
      <c r="W1791">
        <v>2.2799999999999998</v>
      </c>
      <c r="X1791">
        <v>1.36</v>
      </c>
      <c r="Y1791">
        <v>1.74</v>
      </c>
      <c r="Z1791">
        <v>1.88</v>
      </c>
      <c r="AA1791">
        <v>7.66</v>
      </c>
      <c r="AB1791">
        <v>3.06</v>
      </c>
      <c r="AC1791">
        <v>0.55000000000000004</v>
      </c>
      <c r="AD1791">
        <v>5.13</v>
      </c>
      <c r="AE1791">
        <v>2.39</v>
      </c>
      <c r="AF1791">
        <v>3.4449999999999998</v>
      </c>
      <c r="AG1791" t="str">
        <f>HYPERLINK("https://finance.naver.com/item/fchart.naver?code=290120", "DH오토리드 차트보기")</f>
        <v>DH오토리드 차트보기</v>
      </c>
    </row>
    <row r="1792" spans="1:33" x14ac:dyDescent="0.3">
      <c r="A1792" t="s">
        <v>7195</v>
      </c>
      <c r="B1792" t="s">
        <v>55</v>
      </c>
      <c r="C1792" t="s">
        <v>7196</v>
      </c>
      <c r="D1792">
        <v>1073267.29</v>
      </c>
      <c r="E1792" t="s">
        <v>7197</v>
      </c>
      <c r="F1792">
        <v>0</v>
      </c>
      <c r="G1792">
        <v>4.3000001907348633</v>
      </c>
      <c r="H1792">
        <v>0</v>
      </c>
      <c r="I1792">
        <v>0</v>
      </c>
      <c r="J1792" t="s">
        <v>7198</v>
      </c>
      <c r="K1792">
        <v>4070</v>
      </c>
      <c r="L1792">
        <v>4055</v>
      </c>
      <c r="M1792">
        <v>-0.37</v>
      </c>
      <c r="N1792">
        <v>-5.48</v>
      </c>
      <c r="O1792">
        <v>53.88</v>
      </c>
      <c r="P1792">
        <v>-11.59</v>
      </c>
      <c r="Q1792">
        <v>-0.86</v>
      </c>
      <c r="R1792">
        <v>-7.58</v>
      </c>
      <c r="S1792">
        <v>-11.26</v>
      </c>
      <c r="T1792">
        <v>4.33</v>
      </c>
      <c r="U1792">
        <v>9.9600000000000009</v>
      </c>
      <c r="V1792">
        <v>3.69</v>
      </c>
      <c r="W1792">
        <v>5.49</v>
      </c>
      <c r="X1792">
        <v>1.58</v>
      </c>
      <c r="Y1792">
        <v>1.91</v>
      </c>
      <c r="Z1792">
        <v>1.27</v>
      </c>
      <c r="AA1792">
        <v>5.41</v>
      </c>
      <c r="AB1792">
        <v>3.14</v>
      </c>
      <c r="AC1792">
        <v>0.16</v>
      </c>
      <c r="AD1792">
        <v>4.8</v>
      </c>
      <c r="AE1792">
        <v>5.9</v>
      </c>
      <c r="AF1792">
        <v>3.4466666666666672</v>
      </c>
      <c r="AG1792" t="str">
        <f>HYPERLINK("https://finance.naver.com/item/fchart.naver?code=187420", "제노포커스 차트보기")</f>
        <v>제노포커스 차트보기</v>
      </c>
    </row>
    <row r="1793" spans="1:33" x14ac:dyDescent="0.3">
      <c r="A1793" t="s">
        <v>7199</v>
      </c>
      <c r="B1793" t="s">
        <v>55</v>
      </c>
      <c r="C1793" t="s">
        <v>7200</v>
      </c>
      <c r="D1793">
        <v>200242.76</v>
      </c>
      <c r="E1793" t="s">
        <v>7201</v>
      </c>
      <c r="F1793">
        <v>0</v>
      </c>
      <c r="G1793">
        <v>9.8999996185302734</v>
      </c>
      <c r="H1793">
        <v>0</v>
      </c>
      <c r="I1793">
        <v>0</v>
      </c>
      <c r="J1793" t="s">
        <v>7202</v>
      </c>
      <c r="K1793">
        <v>290000</v>
      </c>
      <c r="L1793">
        <v>151600</v>
      </c>
      <c r="M1793">
        <v>-47.72</v>
      </c>
      <c r="N1793">
        <v>-10.45</v>
      </c>
      <c r="O1793">
        <v>-6.07</v>
      </c>
      <c r="P1793">
        <v>-15.24</v>
      </c>
      <c r="Q1793">
        <v>3.96</v>
      </c>
      <c r="R1793">
        <v>-27.74</v>
      </c>
      <c r="S1793">
        <v>-23.73</v>
      </c>
      <c r="T1793">
        <v>5.1100000000000003</v>
      </c>
      <c r="U1793">
        <v>3.21</v>
      </c>
      <c r="V1793">
        <v>5.88</v>
      </c>
      <c r="W1793">
        <v>6.07</v>
      </c>
      <c r="X1793">
        <v>3.3</v>
      </c>
      <c r="Y1793">
        <v>4.66</v>
      </c>
      <c r="Z1793">
        <v>2.0499999999999998</v>
      </c>
      <c r="AA1793">
        <v>1.89</v>
      </c>
      <c r="AB1793">
        <v>2.59</v>
      </c>
      <c r="AC1793">
        <v>0.65</v>
      </c>
      <c r="AD1793">
        <v>8.41</v>
      </c>
      <c r="AE1793">
        <v>5.09</v>
      </c>
      <c r="AF1793">
        <v>3.4466666666666672</v>
      </c>
      <c r="AG1793" t="str">
        <f>HYPERLINK("https://finance.naver.com/item/fchart.naver?code=348370", "엔켐 차트보기")</f>
        <v>엔켐 차트보기</v>
      </c>
    </row>
    <row r="1794" spans="1:33" x14ac:dyDescent="0.3">
      <c r="A1794" t="s">
        <v>7203</v>
      </c>
      <c r="B1794" t="s">
        <v>55</v>
      </c>
      <c r="C1794" t="s">
        <v>7204</v>
      </c>
      <c r="D1794">
        <v>248553.24</v>
      </c>
      <c r="E1794" t="s">
        <v>7205</v>
      </c>
      <c r="F1794">
        <v>0</v>
      </c>
      <c r="G1794">
        <v>1.549999952316284</v>
      </c>
      <c r="H1794">
        <v>0</v>
      </c>
      <c r="I1794">
        <v>0</v>
      </c>
      <c r="J1794" t="s">
        <v>7206</v>
      </c>
      <c r="K1794">
        <v>3140</v>
      </c>
      <c r="L1794">
        <v>2010</v>
      </c>
      <c r="M1794">
        <v>-35.99</v>
      </c>
      <c r="N1794">
        <v>-3.13</v>
      </c>
      <c r="O1794">
        <v>-9.2100000000000009</v>
      </c>
      <c r="P1794">
        <v>-7.81</v>
      </c>
      <c r="Q1794">
        <v>-2.3199999999999998</v>
      </c>
      <c r="R1794">
        <v>8.86</v>
      </c>
      <c r="S1794">
        <v>-12.45</v>
      </c>
      <c r="T1794">
        <v>1.31</v>
      </c>
      <c r="U1794">
        <v>3.17</v>
      </c>
      <c r="V1794">
        <v>1.78</v>
      </c>
      <c r="W1794">
        <v>3.33</v>
      </c>
      <c r="X1794">
        <v>5.84</v>
      </c>
      <c r="Y1794">
        <v>1.42</v>
      </c>
      <c r="Z1794">
        <v>2.39</v>
      </c>
      <c r="AA1794">
        <v>2.91</v>
      </c>
      <c r="AB1794">
        <v>4.3899999999999997</v>
      </c>
      <c r="AC1794">
        <v>0.7</v>
      </c>
      <c r="AD1794">
        <v>1.52</v>
      </c>
      <c r="AE1794">
        <v>8.77</v>
      </c>
      <c r="AF1794">
        <v>3.4466666666666672</v>
      </c>
      <c r="AG1794" t="str">
        <f>HYPERLINK("https://finance.naver.com/item/fchart.naver?code=278650", "HLB바이오스텝 차트보기")</f>
        <v>HLB바이오스텝 차트보기</v>
      </c>
    </row>
    <row r="1795" spans="1:33" x14ac:dyDescent="0.3">
      <c r="A1795" t="s">
        <v>7207</v>
      </c>
      <c r="B1795" t="s">
        <v>55</v>
      </c>
      <c r="C1795" t="s">
        <v>7208</v>
      </c>
      <c r="D1795">
        <v>431174.33</v>
      </c>
      <c r="E1795" t="s">
        <v>7209</v>
      </c>
      <c r="F1795">
        <v>0</v>
      </c>
      <c r="G1795">
        <v>3.7300000190734859</v>
      </c>
      <c r="H1795">
        <v>0</v>
      </c>
      <c r="I1795">
        <v>0</v>
      </c>
      <c r="J1795" t="s">
        <v>7210</v>
      </c>
      <c r="K1795">
        <v>14310</v>
      </c>
      <c r="L1795">
        <v>8250</v>
      </c>
      <c r="M1795">
        <v>-42.35</v>
      </c>
      <c r="N1795">
        <v>-4.95</v>
      </c>
      <c r="O1795">
        <v>-17.010000000000002</v>
      </c>
      <c r="P1795">
        <v>-7.24</v>
      </c>
      <c r="Q1795">
        <v>7.83</v>
      </c>
      <c r="R1795">
        <v>25.44</v>
      </c>
      <c r="S1795">
        <v>-12.27</v>
      </c>
      <c r="T1795">
        <v>2.83</v>
      </c>
      <c r="U1795">
        <v>3.06</v>
      </c>
      <c r="V1795">
        <v>2.2599999999999998</v>
      </c>
      <c r="W1795">
        <v>4.24</v>
      </c>
      <c r="X1795">
        <v>7.4</v>
      </c>
      <c r="Y1795">
        <v>2.5099999999999998</v>
      </c>
      <c r="Z1795">
        <v>1.75</v>
      </c>
      <c r="AA1795">
        <v>5.56</v>
      </c>
      <c r="AB1795">
        <v>3.2</v>
      </c>
      <c r="AC1795">
        <v>1.85</v>
      </c>
      <c r="AD1795">
        <v>3.44</v>
      </c>
      <c r="AE1795">
        <v>4.8899999999999997</v>
      </c>
      <c r="AF1795">
        <v>3.4483333333333328</v>
      </c>
      <c r="AG1795" t="str">
        <f>HYPERLINK("https://finance.naver.com/item/fchart.naver?code=067630", "HLB생명과학 차트보기")</f>
        <v>HLB생명과학 차트보기</v>
      </c>
    </row>
    <row r="1796" spans="1:33" x14ac:dyDescent="0.3">
      <c r="A1796" t="s">
        <v>7211</v>
      </c>
      <c r="B1796" t="s">
        <v>34</v>
      </c>
      <c r="C1796" t="s">
        <v>7212</v>
      </c>
      <c r="D1796">
        <v>101166.05</v>
      </c>
      <c r="E1796" t="s">
        <v>7213</v>
      </c>
      <c r="F1796">
        <v>0</v>
      </c>
      <c r="G1796">
        <v>0.51999998092651367</v>
      </c>
      <c r="H1796">
        <v>0</v>
      </c>
      <c r="I1796">
        <v>0</v>
      </c>
      <c r="J1796" t="s">
        <v>7214</v>
      </c>
      <c r="K1796">
        <v>477</v>
      </c>
      <c r="L1796">
        <v>338</v>
      </c>
      <c r="M1796">
        <v>-29.14</v>
      </c>
      <c r="N1796">
        <v>-1.17</v>
      </c>
      <c r="O1796">
        <v>-4.13</v>
      </c>
      <c r="P1796">
        <v>-9.93</v>
      </c>
      <c r="Q1796">
        <v>2.8</v>
      </c>
      <c r="R1796">
        <v>-2.52</v>
      </c>
      <c r="S1796">
        <v>-10.91</v>
      </c>
      <c r="T1796">
        <v>1.1000000000000001</v>
      </c>
      <c r="U1796">
        <v>2.0499999999999998</v>
      </c>
      <c r="V1796">
        <v>0.99</v>
      </c>
      <c r="W1796">
        <v>3.63</v>
      </c>
      <c r="X1796">
        <v>1.07</v>
      </c>
      <c r="Y1796">
        <v>2.44</v>
      </c>
      <c r="Z1796">
        <v>1.06</v>
      </c>
      <c r="AA1796">
        <v>2.0099999999999998</v>
      </c>
      <c r="AB1796">
        <v>10.029999999999999</v>
      </c>
      <c r="AC1796">
        <v>0.77</v>
      </c>
      <c r="AD1796">
        <v>2.36</v>
      </c>
      <c r="AE1796">
        <v>4.47</v>
      </c>
      <c r="AF1796">
        <v>3.45</v>
      </c>
      <c r="AG1796" t="str">
        <f>HYPERLINK("https://finance.naver.com/item/fchart.naver?code=044380", "주연테크 차트보기")</f>
        <v>주연테크 차트보기</v>
      </c>
    </row>
    <row r="1797" spans="1:33" x14ac:dyDescent="0.3">
      <c r="A1797" t="s">
        <v>7215</v>
      </c>
      <c r="B1797" t="s">
        <v>34</v>
      </c>
      <c r="C1797" t="s">
        <v>7216</v>
      </c>
      <c r="D1797">
        <v>2168370.4300000002</v>
      </c>
      <c r="E1797" t="s">
        <v>7217</v>
      </c>
      <c r="F1797">
        <v>0</v>
      </c>
      <c r="G1797">
        <v>0.40000000596046448</v>
      </c>
      <c r="H1797">
        <v>0</v>
      </c>
      <c r="I1797">
        <v>0</v>
      </c>
      <c r="J1797" t="s">
        <v>7218</v>
      </c>
      <c r="K1797">
        <v>19630</v>
      </c>
      <c r="L1797">
        <v>22250</v>
      </c>
      <c r="M1797">
        <v>13.35</v>
      </c>
      <c r="N1797">
        <v>-3.47</v>
      </c>
      <c r="O1797">
        <v>15.21</v>
      </c>
      <c r="P1797">
        <v>-3.97</v>
      </c>
      <c r="Q1797">
        <v>7.43</v>
      </c>
      <c r="R1797">
        <v>1.1299999999999999</v>
      </c>
      <c r="S1797">
        <v>-3.6</v>
      </c>
      <c r="T1797">
        <v>1</v>
      </c>
      <c r="U1797">
        <v>1.67</v>
      </c>
      <c r="V1797">
        <v>2.4700000000000002</v>
      </c>
      <c r="W1797">
        <v>2.74</v>
      </c>
      <c r="X1797">
        <v>0.73</v>
      </c>
      <c r="Y1797">
        <v>1.59</v>
      </c>
      <c r="Z1797">
        <v>3.47</v>
      </c>
      <c r="AA1797">
        <v>9.11</v>
      </c>
      <c r="AB1797">
        <v>1.61</v>
      </c>
      <c r="AC1797">
        <v>2.71</v>
      </c>
      <c r="AD1797">
        <v>1.55</v>
      </c>
      <c r="AE1797">
        <v>2.2599999999999998</v>
      </c>
      <c r="AF1797">
        <v>3.4516666666666671</v>
      </c>
      <c r="AG1797" t="str">
        <f>HYPERLINK("https://finance.naver.com/item/fchart.naver?code=015760", "한국전력 차트보기")</f>
        <v>한국전력 차트보기</v>
      </c>
    </row>
    <row r="1798" spans="1:33" x14ac:dyDescent="0.3">
      <c r="A1798" t="s">
        <v>7219</v>
      </c>
      <c r="B1798" t="s">
        <v>55</v>
      </c>
      <c r="C1798" t="s">
        <v>7220</v>
      </c>
      <c r="D1798">
        <v>502323.14</v>
      </c>
      <c r="E1798" t="s">
        <v>7221</v>
      </c>
      <c r="F1798">
        <v>65.58</v>
      </c>
      <c r="G1798">
        <v>3.7300000190734859</v>
      </c>
      <c r="H1798">
        <v>430</v>
      </c>
      <c r="I1798">
        <v>0</v>
      </c>
      <c r="J1798" t="s">
        <v>7222</v>
      </c>
      <c r="K1798">
        <v>19210</v>
      </c>
      <c r="L1798">
        <v>28200</v>
      </c>
      <c r="M1798">
        <v>46.8</v>
      </c>
      <c r="N1798">
        <v>18.989999999999998</v>
      </c>
      <c r="O1798">
        <v>-22.04</v>
      </c>
      <c r="P1798">
        <v>-4.26</v>
      </c>
      <c r="Q1798">
        <v>2.96</v>
      </c>
      <c r="R1798">
        <v>-15.4</v>
      </c>
      <c r="S1798">
        <v>63.56</v>
      </c>
      <c r="T1798">
        <v>6.99</v>
      </c>
      <c r="U1798">
        <v>2.96</v>
      </c>
      <c r="V1798">
        <v>4.88</v>
      </c>
      <c r="W1798">
        <v>6.14</v>
      </c>
      <c r="X1798">
        <v>4.95</v>
      </c>
      <c r="Y1798">
        <v>10.43</v>
      </c>
      <c r="Z1798">
        <v>2.72</v>
      </c>
      <c r="AA1798">
        <v>7.45</v>
      </c>
      <c r="AB1798">
        <v>0.87</v>
      </c>
      <c r="AC1798">
        <v>0.48</v>
      </c>
      <c r="AD1798">
        <v>3.11</v>
      </c>
      <c r="AE1798">
        <v>6.09</v>
      </c>
      <c r="AF1798">
        <v>3.4533333333333331</v>
      </c>
      <c r="AG1798" t="str">
        <f>HYPERLINK("https://finance.naver.com/item/fchart.naver?code=042000", "카페24 차트보기")</f>
        <v>카페24 차트보기</v>
      </c>
    </row>
    <row r="1799" spans="1:33" x14ac:dyDescent="0.3">
      <c r="A1799" t="s">
        <v>7223</v>
      </c>
      <c r="B1799" t="s">
        <v>55</v>
      </c>
      <c r="C1799" t="s">
        <v>7224</v>
      </c>
      <c r="D1799">
        <v>846910.95</v>
      </c>
      <c r="E1799" t="s">
        <v>7225</v>
      </c>
      <c r="F1799">
        <v>21.29</v>
      </c>
      <c r="G1799">
        <v>2.3499999046325679</v>
      </c>
      <c r="H1799">
        <v>739</v>
      </c>
      <c r="I1799">
        <v>0.44999998807907099</v>
      </c>
      <c r="J1799" t="s">
        <v>7226</v>
      </c>
      <c r="K1799">
        <v>20300</v>
      </c>
      <c r="L1799">
        <v>15730</v>
      </c>
      <c r="M1799">
        <v>-22.51</v>
      </c>
      <c r="N1799">
        <v>44.44</v>
      </c>
      <c r="O1799">
        <v>6.59</v>
      </c>
      <c r="P1799">
        <v>-1.43</v>
      </c>
      <c r="Q1799">
        <v>-14.21</v>
      </c>
      <c r="R1799">
        <v>-10.26</v>
      </c>
      <c r="S1799">
        <v>-12.24</v>
      </c>
      <c r="T1799">
        <v>11.69</v>
      </c>
      <c r="U1799">
        <v>3.35</v>
      </c>
      <c r="V1799">
        <v>2.48</v>
      </c>
      <c r="W1799">
        <v>4.5999999999999996</v>
      </c>
      <c r="X1799">
        <v>2</v>
      </c>
      <c r="Y1799">
        <v>1.99</v>
      </c>
      <c r="Z1799">
        <v>3.8</v>
      </c>
      <c r="AA1799">
        <v>1.97</v>
      </c>
      <c r="AB1799">
        <v>0.57999999999999996</v>
      </c>
      <c r="AC1799">
        <v>3.09</v>
      </c>
      <c r="AD1799">
        <v>5.13</v>
      </c>
      <c r="AE1799">
        <v>6.15</v>
      </c>
      <c r="AF1799">
        <v>3.4533333333333331</v>
      </c>
      <c r="AG1799" t="str">
        <f>HYPERLINK("https://finance.naver.com/item/fchart.naver?code=211270", "AP위성 차트보기")</f>
        <v>AP위성 차트보기</v>
      </c>
    </row>
    <row r="1800" spans="1:33" x14ac:dyDescent="0.3">
      <c r="A1800" t="s">
        <v>7227</v>
      </c>
      <c r="B1800" t="s">
        <v>55</v>
      </c>
      <c r="C1800" t="s">
        <v>7228</v>
      </c>
      <c r="D1800">
        <v>70108.33</v>
      </c>
      <c r="E1800" t="s">
        <v>7229</v>
      </c>
      <c r="F1800">
        <v>0</v>
      </c>
      <c r="G1800">
        <v>8.8400001525878906</v>
      </c>
      <c r="H1800">
        <v>0</v>
      </c>
      <c r="I1800">
        <v>0</v>
      </c>
      <c r="J1800" t="s">
        <v>7230</v>
      </c>
      <c r="K1800">
        <v>16300</v>
      </c>
      <c r="L1800">
        <v>8140</v>
      </c>
      <c r="M1800">
        <v>-50.06</v>
      </c>
      <c r="N1800">
        <v>12.59</v>
      </c>
      <c r="O1800">
        <v>-13.63</v>
      </c>
      <c r="P1800">
        <v>-1.31</v>
      </c>
      <c r="Q1800">
        <v>-7.45</v>
      </c>
      <c r="R1800">
        <v>-15.63</v>
      </c>
      <c r="S1800">
        <v>-29</v>
      </c>
      <c r="T1800">
        <v>3.13</v>
      </c>
      <c r="U1800">
        <v>3.2</v>
      </c>
      <c r="V1800">
        <v>4.41</v>
      </c>
      <c r="W1800">
        <v>5.0999999999999996</v>
      </c>
      <c r="X1800">
        <v>2.62</v>
      </c>
      <c r="Y1800">
        <v>6.13</v>
      </c>
      <c r="Z1800">
        <v>4.0199999999999996</v>
      </c>
      <c r="AA1800">
        <v>4.26</v>
      </c>
      <c r="AB1800">
        <v>0.3</v>
      </c>
      <c r="AC1800">
        <v>1.46</v>
      </c>
      <c r="AD1800">
        <v>5.97</v>
      </c>
      <c r="AE1800">
        <v>4.7300000000000004</v>
      </c>
      <c r="AF1800">
        <v>3.456666666666667</v>
      </c>
      <c r="AG1800" t="str">
        <f>HYPERLINK("https://finance.naver.com/item/fchart.naver?code=199430", "케이엔알시스템 차트보기")</f>
        <v>케이엔알시스템 차트보기</v>
      </c>
    </row>
    <row r="1801" spans="1:33" x14ac:dyDescent="0.3">
      <c r="A1801" t="s">
        <v>7231</v>
      </c>
      <c r="B1801" t="s">
        <v>34</v>
      </c>
      <c r="C1801" t="s">
        <v>7232</v>
      </c>
      <c r="D1801">
        <v>453969.38</v>
      </c>
      <c r="E1801" t="s">
        <v>7233</v>
      </c>
      <c r="F1801">
        <v>4.57</v>
      </c>
      <c r="G1801">
        <v>0.41999998688697809</v>
      </c>
      <c r="H1801">
        <v>764</v>
      </c>
      <c r="I1801">
        <v>2.8599998950958252</v>
      </c>
      <c r="J1801" t="s">
        <v>7234</v>
      </c>
      <c r="K1801">
        <v>3585</v>
      </c>
      <c r="L1801">
        <v>3495</v>
      </c>
      <c r="M1801">
        <v>-2.5099999999999998</v>
      </c>
      <c r="N1801">
        <v>9.0500000000000007</v>
      </c>
      <c r="O1801">
        <v>5.93</v>
      </c>
      <c r="P1801">
        <v>-2.14</v>
      </c>
      <c r="Q1801">
        <v>-21.72</v>
      </c>
      <c r="R1801">
        <v>36.479999999999997</v>
      </c>
      <c r="S1801">
        <v>-8.5</v>
      </c>
      <c r="T1801">
        <v>5.23</v>
      </c>
      <c r="U1801">
        <v>3.01</v>
      </c>
      <c r="V1801">
        <v>1.64</v>
      </c>
      <c r="W1801">
        <v>5.19</v>
      </c>
      <c r="X1801">
        <v>5.72</v>
      </c>
      <c r="Y1801">
        <v>1.64</v>
      </c>
      <c r="Z1801">
        <v>1.73</v>
      </c>
      <c r="AA1801">
        <v>1.97</v>
      </c>
      <c r="AB1801">
        <v>1.3</v>
      </c>
      <c r="AC1801">
        <v>4.18</v>
      </c>
      <c r="AD1801">
        <v>6.38</v>
      </c>
      <c r="AE1801">
        <v>5.18</v>
      </c>
      <c r="AF1801">
        <v>3.456666666666667</v>
      </c>
      <c r="AG1801" t="str">
        <f>HYPERLINK("https://finance.naver.com/item/fchart.naver?code=058730", "다스코 차트보기")</f>
        <v>다스코 차트보기</v>
      </c>
    </row>
    <row r="1802" spans="1:33" x14ac:dyDescent="0.3">
      <c r="A1802" t="s">
        <v>7235</v>
      </c>
      <c r="B1802" t="s">
        <v>55</v>
      </c>
      <c r="C1802" t="s">
        <v>7236</v>
      </c>
      <c r="D1802">
        <v>37414.81</v>
      </c>
      <c r="E1802" t="s">
        <v>7237</v>
      </c>
      <c r="F1802">
        <v>1.92</v>
      </c>
      <c r="G1802">
        <v>0.23000000417232511</v>
      </c>
      <c r="H1802">
        <v>1027</v>
      </c>
      <c r="I1802">
        <v>1.5199999809265139</v>
      </c>
      <c r="J1802" t="s">
        <v>7238</v>
      </c>
      <c r="K1802">
        <v>2600</v>
      </c>
      <c r="L1802">
        <v>1969</v>
      </c>
      <c r="M1802">
        <v>-24.27</v>
      </c>
      <c r="N1802">
        <v>-1.8</v>
      </c>
      <c r="O1802">
        <v>0</v>
      </c>
      <c r="P1802">
        <v>-2.17</v>
      </c>
      <c r="Q1802">
        <v>-11.35</v>
      </c>
      <c r="R1802">
        <v>-7.39</v>
      </c>
      <c r="S1802">
        <v>-1.56</v>
      </c>
      <c r="T1802">
        <v>0.62</v>
      </c>
      <c r="U1802">
        <v>0.68</v>
      </c>
      <c r="V1802">
        <v>1.1299999999999999</v>
      </c>
      <c r="W1802">
        <v>2.75</v>
      </c>
      <c r="X1802">
        <v>0.72</v>
      </c>
      <c r="Y1802">
        <v>1.01</v>
      </c>
      <c r="Z1802">
        <v>2.9</v>
      </c>
      <c r="AA1802">
        <v>0</v>
      </c>
      <c r="AB1802">
        <v>1.92</v>
      </c>
      <c r="AC1802">
        <v>4.13</v>
      </c>
      <c r="AD1802">
        <v>10.26</v>
      </c>
      <c r="AE1802">
        <v>1.54</v>
      </c>
      <c r="AF1802">
        <v>3.458333333333333</v>
      </c>
      <c r="AG1802" t="str">
        <f>HYPERLINK("https://finance.naver.com/item/fchart.naver?code=088910", "동우팜투테이블 차트보기")</f>
        <v>동우팜투테이블 차트보기</v>
      </c>
    </row>
    <row r="1803" spans="1:33" x14ac:dyDescent="0.3">
      <c r="A1803" t="s">
        <v>7239</v>
      </c>
      <c r="B1803" t="s">
        <v>55</v>
      </c>
      <c r="C1803" t="s">
        <v>7240</v>
      </c>
      <c r="D1803">
        <v>15338.05</v>
      </c>
      <c r="E1803" t="s">
        <v>7241</v>
      </c>
      <c r="F1803">
        <v>3.21</v>
      </c>
      <c r="G1803">
        <v>0.25999999046325678</v>
      </c>
      <c r="H1803">
        <v>619</v>
      </c>
      <c r="I1803">
        <v>0</v>
      </c>
      <c r="J1803" t="s">
        <v>7242</v>
      </c>
      <c r="K1803">
        <v>3420</v>
      </c>
      <c r="L1803">
        <v>1984</v>
      </c>
      <c r="M1803">
        <v>-41.99</v>
      </c>
      <c r="N1803">
        <v>-7.94</v>
      </c>
      <c r="O1803">
        <v>-3.53</v>
      </c>
      <c r="P1803">
        <v>0.66</v>
      </c>
      <c r="Q1803">
        <v>-15.27</v>
      </c>
      <c r="R1803">
        <v>-5.25</v>
      </c>
      <c r="S1803">
        <v>-10</v>
      </c>
      <c r="T1803">
        <v>1.63</v>
      </c>
      <c r="U1803">
        <v>2.23</v>
      </c>
      <c r="V1803">
        <v>1.91</v>
      </c>
      <c r="W1803">
        <v>3.24</v>
      </c>
      <c r="X1803">
        <v>1.46</v>
      </c>
      <c r="Y1803">
        <v>1.77</v>
      </c>
      <c r="Z1803">
        <v>4.87</v>
      </c>
      <c r="AA1803">
        <v>1.58</v>
      </c>
      <c r="AB1803">
        <v>0.35</v>
      </c>
      <c r="AC1803">
        <v>4.71</v>
      </c>
      <c r="AD1803">
        <v>3.6</v>
      </c>
      <c r="AE1803">
        <v>5.65</v>
      </c>
      <c r="AF1803">
        <v>3.46</v>
      </c>
      <c r="AG1803" t="str">
        <f>HYPERLINK("https://finance.naver.com/item/fchart.naver?code=014100", "메디앙스 차트보기")</f>
        <v>메디앙스 차트보기</v>
      </c>
    </row>
    <row r="1804" spans="1:33" x14ac:dyDescent="0.3">
      <c r="A1804" t="s">
        <v>7243</v>
      </c>
      <c r="B1804" t="s">
        <v>34</v>
      </c>
      <c r="C1804" t="s">
        <v>7244</v>
      </c>
      <c r="D1804">
        <v>13371</v>
      </c>
      <c r="E1804" t="s">
        <v>7245</v>
      </c>
      <c r="F1804">
        <v>8.7799999999999994</v>
      </c>
      <c r="G1804">
        <v>0.4699999988079071</v>
      </c>
      <c r="H1804">
        <v>1708</v>
      </c>
      <c r="I1804">
        <v>2</v>
      </c>
      <c r="J1804" t="s">
        <v>7246</v>
      </c>
      <c r="K1804">
        <v>28450</v>
      </c>
      <c r="L1804">
        <v>15000</v>
      </c>
      <c r="M1804">
        <v>-47.28</v>
      </c>
      <c r="N1804">
        <v>-9.86</v>
      </c>
      <c r="O1804">
        <v>-7.37</v>
      </c>
      <c r="P1804">
        <v>-5.42</v>
      </c>
      <c r="Q1804">
        <v>-10.69</v>
      </c>
      <c r="R1804">
        <v>-22.87</v>
      </c>
      <c r="S1804">
        <v>2.95</v>
      </c>
      <c r="T1804">
        <v>2.35</v>
      </c>
      <c r="U1804">
        <v>2.2400000000000002</v>
      </c>
      <c r="V1804">
        <v>2.62</v>
      </c>
      <c r="W1804">
        <v>4.29</v>
      </c>
      <c r="X1804">
        <v>2.78</v>
      </c>
      <c r="Y1804">
        <v>6.08</v>
      </c>
      <c r="Z1804">
        <v>4.2</v>
      </c>
      <c r="AA1804">
        <v>3.29</v>
      </c>
      <c r="AB1804">
        <v>2.0699999999999998</v>
      </c>
      <c r="AC1804">
        <v>2.4900000000000002</v>
      </c>
      <c r="AD1804">
        <v>8.23</v>
      </c>
      <c r="AE1804">
        <v>0.49</v>
      </c>
      <c r="AF1804">
        <v>3.461666666666666</v>
      </c>
      <c r="AG1804" t="str">
        <f>HYPERLINK("https://finance.naver.com/item/fchart.naver?code=055490", "테이팩스 차트보기")</f>
        <v>테이팩스 차트보기</v>
      </c>
    </row>
    <row r="1805" spans="1:33" x14ac:dyDescent="0.3">
      <c r="A1805" t="s">
        <v>7247</v>
      </c>
      <c r="B1805" t="s">
        <v>34</v>
      </c>
      <c r="C1805" t="s">
        <v>7248</v>
      </c>
      <c r="D1805">
        <v>14239.76</v>
      </c>
      <c r="E1805" t="s">
        <v>7249</v>
      </c>
      <c r="F1805">
        <v>0</v>
      </c>
      <c r="G1805">
        <v>0.33000001311302191</v>
      </c>
      <c r="H1805">
        <v>0</v>
      </c>
      <c r="I1805">
        <v>7.1700000762939453</v>
      </c>
      <c r="J1805" t="s">
        <v>7250</v>
      </c>
      <c r="K1805">
        <v>5490</v>
      </c>
      <c r="L1805">
        <v>4880</v>
      </c>
      <c r="M1805">
        <v>-11.11</v>
      </c>
      <c r="N1805">
        <v>-2.2999999999999998</v>
      </c>
      <c r="O1805">
        <v>2.4500000000000002</v>
      </c>
      <c r="P1805">
        <v>-0.7</v>
      </c>
      <c r="Q1805">
        <v>-2.27</v>
      </c>
      <c r="R1805">
        <v>-2.52</v>
      </c>
      <c r="S1805">
        <v>-3.89</v>
      </c>
      <c r="T1805">
        <v>0.89</v>
      </c>
      <c r="U1805">
        <v>0.77</v>
      </c>
      <c r="V1805">
        <v>0.94</v>
      </c>
      <c r="W1805">
        <v>1.88</v>
      </c>
      <c r="X1805">
        <v>0.42</v>
      </c>
      <c r="Y1805">
        <v>0.55000000000000004</v>
      </c>
      <c r="Z1805">
        <v>2.58</v>
      </c>
      <c r="AA1805">
        <v>3.18</v>
      </c>
      <c r="AB1805">
        <v>0.74</v>
      </c>
      <c r="AC1805">
        <v>1.21</v>
      </c>
      <c r="AD1805">
        <v>6</v>
      </c>
      <c r="AE1805">
        <v>7.07</v>
      </c>
      <c r="AF1805">
        <v>3.4633333333333329</v>
      </c>
      <c r="AG1805" t="str">
        <f>HYPERLINK("https://finance.naver.com/item/fchart.naver?code=053210", "스카이라이프 차트보기")</f>
        <v>스카이라이프 차트보기</v>
      </c>
    </row>
    <row r="1806" spans="1:33" x14ac:dyDescent="0.3">
      <c r="A1806" t="s">
        <v>7251</v>
      </c>
      <c r="B1806" t="s">
        <v>55</v>
      </c>
      <c r="C1806" t="s">
        <v>7252</v>
      </c>
      <c r="D1806">
        <v>166899.38</v>
      </c>
      <c r="E1806" t="s">
        <v>7253</v>
      </c>
      <c r="F1806">
        <v>0</v>
      </c>
      <c r="G1806">
        <v>7.7899999618530273</v>
      </c>
      <c r="H1806">
        <v>0</v>
      </c>
      <c r="I1806">
        <v>0</v>
      </c>
      <c r="J1806" t="s">
        <v>7254</v>
      </c>
      <c r="K1806">
        <v>1294</v>
      </c>
      <c r="L1806">
        <v>834</v>
      </c>
      <c r="M1806">
        <v>-35.549999999999997</v>
      </c>
      <c r="N1806">
        <v>-4.58</v>
      </c>
      <c r="O1806">
        <v>-7.48</v>
      </c>
      <c r="P1806">
        <v>-0.1</v>
      </c>
      <c r="Q1806">
        <v>-16.37</v>
      </c>
      <c r="R1806">
        <v>15.1</v>
      </c>
      <c r="S1806">
        <v>-14.01</v>
      </c>
      <c r="T1806">
        <v>1.67</v>
      </c>
      <c r="U1806">
        <v>2.6</v>
      </c>
      <c r="V1806">
        <v>3.98</v>
      </c>
      <c r="W1806">
        <v>3.91</v>
      </c>
      <c r="X1806">
        <v>2.85</v>
      </c>
      <c r="Y1806">
        <v>2.48</v>
      </c>
      <c r="Z1806">
        <v>2.74</v>
      </c>
      <c r="AA1806">
        <v>2.88</v>
      </c>
      <c r="AB1806">
        <v>0.03</v>
      </c>
      <c r="AC1806">
        <v>4.1900000000000004</v>
      </c>
      <c r="AD1806">
        <v>5.3</v>
      </c>
      <c r="AE1806">
        <v>5.65</v>
      </c>
      <c r="AF1806">
        <v>3.4649999999999999</v>
      </c>
      <c r="AG1806" t="str">
        <f>HYPERLINK("https://finance.naver.com/item/fchart.naver?code=365590", "하이딥 차트보기")</f>
        <v>하이딥 차트보기</v>
      </c>
    </row>
    <row r="1807" spans="1:33" x14ac:dyDescent="0.3">
      <c r="A1807" t="s">
        <v>7255</v>
      </c>
      <c r="B1807" t="s">
        <v>55</v>
      </c>
      <c r="C1807" t="s">
        <v>7256</v>
      </c>
      <c r="D1807">
        <v>1369137.33</v>
      </c>
      <c r="E1807" t="s">
        <v>7257</v>
      </c>
      <c r="F1807">
        <v>0</v>
      </c>
      <c r="G1807">
        <v>24.420000076293949</v>
      </c>
      <c r="H1807">
        <v>0</v>
      </c>
      <c r="I1807">
        <v>0</v>
      </c>
      <c r="J1807" t="s">
        <v>7258</v>
      </c>
      <c r="K1807">
        <v>5720</v>
      </c>
      <c r="L1807">
        <v>30550</v>
      </c>
      <c r="M1807">
        <v>434.09</v>
      </c>
      <c r="N1807">
        <v>3.74</v>
      </c>
      <c r="O1807">
        <v>-0.69</v>
      </c>
      <c r="P1807">
        <v>42.63</v>
      </c>
      <c r="Q1807">
        <v>71.69</v>
      </c>
      <c r="R1807">
        <v>9.5</v>
      </c>
      <c r="S1807">
        <v>56.3</v>
      </c>
      <c r="T1807">
        <v>8.1</v>
      </c>
      <c r="U1807">
        <v>10.53</v>
      </c>
      <c r="V1807">
        <v>7.21</v>
      </c>
      <c r="W1807">
        <v>9.92</v>
      </c>
      <c r="X1807">
        <v>6.62</v>
      </c>
      <c r="Y1807">
        <v>9.89</v>
      </c>
      <c r="Z1807">
        <v>0.46</v>
      </c>
      <c r="AA1807">
        <v>7.0000000000000007E-2</v>
      </c>
      <c r="AB1807">
        <v>5.91</v>
      </c>
      <c r="AC1807">
        <v>7.23</v>
      </c>
      <c r="AD1807">
        <v>1.44</v>
      </c>
      <c r="AE1807">
        <v>5.69</v>
      </c>
      <c r="AF1807">
        <v>3.4666666666666668</v>
      </c>
      <c r="AG1807" t="str">
        <f>HYPERLINK("https://finance.naver.com/item/fchart.naver?code=323280", "태성 차트보기")</f>
        <v>태성 차트보기</v>
      </c>
    </row>
    <row r="1808" spans="1:33" x14ac:dyDescent="0.3">
      <c r="A1808" t="s">
        <v>7259</v>
      </c>
      <c r="B1808" t="s">
        <v>34</v>
      </c>
      <c r="C1808" t="s">
        <v>7260</v>
      </c>
      <c r="D1808">
        <v>32805.57</v>
      </c>
      <c r="E1808" t="s">
        <v>7261</v>
      </c>
      <c r="F1808">
        <v>3.76</v>
      </c>
      <c r="G1808">
        <v>0.25</v>
      </c>
      <c r="H1808">
        <v>3195</v>
      </c>
      <c r="I1808">
        <v>2.5</v>
      </c>
      <c r="J1808" t="s">
        <v>7262</v>
      </c>
      <c r="K1808">
        <v>12390</v>
      </c>
      <c r="L1808">
        <v>12000</v>
      </c>
      <c r="M1808">
        <v>-3.15</v>
      </c>
      <c r="N1808">
        <v>0.17</v>
      </c>
      <c r="O1808">
        <v>-7.07</v>
      </c>
      <c r="P1808">
        <v>-1.51</v>
      </c>
      <c r="Q1808">
        <v>-3.15</v>
      </c>
      <c r="R1808">
        <v>3.14</v>
      </c>
      <c r="S1808">
        <v>14.23</v>
      </c>
      <c r="T1808">
        <v>1.1299999999999999</v>
      </c>
      <c r="U1808">
        <v>0.75</v>
      </c>
      <c r="V1808">
        <v>1.66</v>
      </c>
      <c r="W1808">
        <v>2.92</v>
      </c>
      <c r="X1808">
        <v>2.09</v>
      </c>
      <c r="Y1808">
        <v>1.84</v>
      </c>
      <c r="Z1808">
        <v>0.15</v>
      </c>
      <c r="AA1808">
        <v>9.43</v>
      </c>
      <c r="AB1808">
        <v>0.91</v>
      </c>
      <c r="AC1808">
        <v>1.08</v>
      </c>
      <c r="AD1808">
        <v>1.5</v>
      </c>
      <c r="AE1808">
        <v>7.73</v>
      </c>
      <c r="AF1808">
        <v>3.4666666666666668</v>
      </c>
      <c r="AG1808" t="str">
        <f>HYPERLINK("https://finance.naver.com/item/fchart.naver?code=004360", "세방 차트보기")</f>
        <v>세방 차트보기</v>
      </c>
    </row>
    <row r="1809" spans="1:33" x14ac:dyDescent="0.3">
      <c r="A1809" t="s">
        <v>7263</v>
      </c>
      <c r="B1809" t="s">
        <v>55</v>
      </c>
      <c r="C1809" t="s">
        <v>7264</v>
      </c>
      <c r="D1809">
        <v>2490739.9</v>
      </c>
      <c r="E1809" t="s">
        <v>7265</v>
      </c>
      <c r="F1809">
        <v>0</v>
      </c>
      <c r="G1809">
        <v>0.97000002861022949</v>
      </c>
      <c r="H1809">
        <v>0</v>
      </c>
      <c r="I1809">
        <v>0</v>
      </c>
      <c r="J1809" t="s">
        <v>7266</v>
      </c>
      <c r="K1809">
        <v>7160</v>
      </c>
      <c r="L1809">
        <v>6970</v>
      </c>
      <c r="M1809">
        <v>-2.65</v>
      </c>
      <c r="N1809">
        <v>-5.43</v>
      </c>
      <c r="O1809">
        <v>20.39</v>
      </c>
      <c r="P1809">
        <v>-9.68</v>
      </c>
      <c r="Q1809">
        <v>0.28000000000000003</v>
      </c>
      <c r="R1809">
        <v>8.2799999999999994</v>
      </c>
      <c r="S1809">
        <v>-13.39</v>
      </c>
      <c r="T1809">
        <v>2.62</v>
      </c>
      <c r="U1809">
        <v>8.0500000000000007</v>
      </c>
      <c r="V1809">
        <v>1.99</v>
      </c>
      <c r="W1809">
        <v>4</v>
      </c>
      <c r="X1809">
        <v>2.1800000000000002</v>
      </c>
      <c r="Y1809">
        <v>1.79</v>
      </c>
      <c r="Z1809">
        <v>2.0699999999999998</v>
      </c>
      <c r="AA1809">
        <v>2.5299999999999998</v>
      </c>
      <c r="AB1809">
        <v>4.8600000000000003</v>
      </c>
      <c r="AC1809">
        <v>7.0000000000000007E-2</v>
      </c>
      <c r="AD1809">
        <v>3.8</v>
      </c>
      <c r="AE1809">
        <v>7.48</v>
      </c>
      <c r="AF1809">
        <v>3.4683333333333342</v>
      </c>
      <c r="AG1809" t="str">
        <f>HYPERLINK("https://finance.naver.com/item/fchart.naver?code=095700", "제넥신 차트보기")</f>
        <v>제넥신 차트보기</v>
      </c>
    </row>
    <row r="1810" spans="1:33" x14ac:dyDescent="0.3">
      <c r="A1810" t="s">
        <v>7267</v>
      </c>
      <c r="B1810" t="s">
        <v>55</v>
      </c>
      <c r="C1810" t="s">
        <v>7268</v>
      </c>
      <c r="D1810">
        <v>1727521.71</v>
      </c>
      <c r="E1810" t="s">
        <v>7269</v>
      </c>
      <c r="F1810">
        <v>0</v>
      </c>
      <c r="G1810">
        <v>5.2600002288818359</v>
      </c>
      <c r="H1810">
        <v>0</v>
      </c>
      <c r="I1810">
        <v>0</v>
      </c>
      <c r="J1810" t="s">
        <v>7270</v>
      </c>
      <c r="K1810">
        <v>12730</v>
      </c>
      <c r="L1810">
        <v>16060</v>
      </c>
      <c r="M1810">
        <v>26.16</v>
      </c>
      <c r="N1810">
        <v>1.32</v>
      </c>
      <c r="O1810">
        <v>29.09</v>
      </c>
      <c r="P1810">
        <v>10.96</v>
      </c>
      <c r="Q1810">
        <v>-2.48</v>
      </c>
      <c r="R1810">
        <v>-6.38</v>
      </c>
      <c r="S1810">
        <v>-11.96</v>
      </c>
      <c r="T1810">
        <v>3.88</v>
      </c>
      <c r="U1810">
        <v>6.46</v>
      </c>
      <c r="V1810">
        <v>2.74</v>
      </c>
      <c r="W1810">
        <v>3.91</v>
      </c>
      <c r="X1810">
        <v>1.63</v>
      </c>
      <c r="Y1810">
        <v>1.61</v>
      </c>
      <c r="Z1810">
        <v>0.34</v>
      </c>
      <c r="AA1810">
        <v>4.5</v>
      </c>
      <c r="AB1810">
        <v>4</v>
      </c>
      <c r="AC1810">
        <v>0.63</v>
      </c>
      <c r="AD1810">
        <v>3.91</v>
      </c>
      <c r="AE1810">
        <v>7.43</v>
      </c>
      <c r="AF1810">
        <v>3.4683333333333342</v>
      </c>
      <c r="AG1810" t="str">
        <f>HYPERLINK("https://finance.naver.com/item/fchart.naver?code=206650", "유바이오로직스 차트보기")</f>
        <v>유바이오로직스 차트보기</v>
      </c>
    </row>
    <row r="1811" spans="1:33" x14ac:dyDescent="0.3">
      <c r="A1811" t="s">
        <v>7271</v>
      </c>
      <c r="B1811" t="s">
        <v>34</v>
      </c>
      <c r="C1811" t="s">
        <v>7272</v>
      </c>
      <c r="D1811">
        <v>55136.19</v>
      </c>
      <c r="E1811" t="s">
        <v>7273</v>
      </c>
      <c r="F1811">
        <v>0</v>
      </c>
      <c r="G1811">
        <v>0.27000001072883612</v>
      </c>
      <c r="H1811">
        <v>0</v>
      </c>
      <c r="I1811">
        <v>0</v>
      </c>
      <c r="J1811" t="s">
        <v>7274</v>
      </c>
      <c r="K1811">
        <v>998</v>
      </c>
      <c r="L1811">
        <v>784</v>
      </c>
      <c r="M1811">
        <v>-21.44</v>
      </c>
      <c r="N1811">
        <v>-2.12</v>
      </c>
      <c r="O1811">
        <v>-8.01</v>
      </c>
      <c r="P1811">
        <v>-3.72</v>
      </c>
      <c r="Q1811">
        <v>4.9000000000000004</v>
      </c>
      <c r="R1811">
        <v>0.48</v>
      </c>
      <c r="S1811">
        <v>-10.74</v>
      </c>
      <c r="T1811">
        <v>0.98</v>
      </c>
      <c r="U1811">
        <v>1.82</v>
      </c>
      <c r="V1811">
        <v>2</v>
      </c>
      <c r="W1811">
        <v>3.16</v>
      </c>
      <c r="X1811">
        <v>2.3199999999999998</v>
      </c>
      <c r="Y1811">
        <v>1.01</v>
      </c>
      <c r="Z1811">
        <v>2.16</v>
      </c>
      <c r="AA1811">
        <v>4.4000000000000004</v>
      </c>
      <c r="AB1811">
        <v>1.86</v>
      </c>
      <c r="AC1811">
        <v>1.55</v>
      </c>
      <c r="AD1811">
        <v>0.21</v>
      </c>
      <c r="AE1811">
        <v>10.63</v>
      </c>
      <c r="AF1811">
        <v>3.4683333333333342</v>
      </c>
      <c r="AG1811" t="str">
        <f>HYPERLINK("https://finance.naver.com/item/fchart.naver?code=002070", "비비안 차트보기")</f>
        <v>비비안 차트보기</v>
      </c>
    </row>
    <row r="1812" spans="1:33" x14ac:dyDescent="0.3">
      <c r="A1812" t="s">
        <v>7275</v>
      </c>
      <c r="B1812" t="s">
        <v>55</v>
      </c>
      <c r="C1812" t="s">
        <v>7276</v>
      </c>
      <c r="D1812">
        <v>554748.32999999996</v>
      </c>
      <c r="E1812" t="s">
        <v>7277</v>
      </c>
      <c r="F1812">
        <v>0</v>
      </c>
      <c r="G1812">
        <v>1.279999971389771</v>
      </c>
      <c r="H1812">
        <v>0</v>
      </c>
      <c r="I1812">
        <v>0</v>
      </c>
      <c r="J1812" t="s">
        <v>7278</v>
      </c>
      <c r="K1812">
        <v>1024</v>
      </c>
      <c r="L1812">
        <v>602</v>
      </c>
      <c r="M1812">
        <v>-41.21</v>
      </c>
      <c r="N1812">
        <v>4.7</v>
      </c>
      <c r="O1812">
        <v>-15.66</v>
      </c>
      <c r="P1812">
        <v>-1.81</v>
      </c>
      <c r="Q1812">
        <v>-12.15</v>
      </c>
      <c r="R1812">
        <v>-8.76</v>
      </c>
      <c r="S1812">
        <v>-13.58</v>
      </c>
      <c r="T1812">
        <v>7.75</v>
      </c>
      <c r="U1812">
        <v>2.5499999999999998</v>
      </c>
      <c r="V1812">
        <v>3.21</v>
      </c>
      <c r="W1812">
        <v>5.69</v>
      </c>
      <c r="X1812">
        <v>1.8</v>
      </c>
      <c r="Y1812">
        <v>2.09</v>
      </c>
      <c r="Z1812">
        <v>0.61</v>
      </c>
      <c r="AA1812">
        <v>6.14</v>
      </c>
      <c r="AB1812">
        <v>0.56000000000000005</v>
      </c>
      <c r="AC1812">
        <v>2.14</v>
      </c>
      <c r="AD1812">
        <v>4.87</v>
      </c>
      <c r="AE1812">
        <v>6.5</v>
      </c>
      <c r="AF1812">
        <v>3.47</v>
      </c>
      <c r="AG1812" t="str">
        <f>HYPERLINK("https://finance.naver.com/item/fchart.naver?code=044480", "빌리언스 차트보기")</f>
        <v>빌리언스 차트보기</v>
      </c>
    </row>
    <row r="1813" spans="1:33" x14ac:dyDescent="0.3">
      <c r="A1813" t="s">
        <v>7279</v>
      </c>
      <c r="B1813" t="s">
        <v>55</v>
      </c>
      <c r="C1813" t="s">
        <v>7280</v>
      </c>
      <c r="D1813">
        <v>35730</v>
      </c>
      <c r="E1813" t="s">
        <v>7281</v>
      </c>
      <c r="F1813">
        <v>145.63999999999999</v>
      </c>
      <c r="G1813">
        <v>1.1000000238418579</v>
      </c>
      <c r="H1813">
        <v>39</v>
      </c>
      <c r="I1813">
        <v>2.6400001049041748</v>
      </c>
      <c r="J1813" t="s">
        <v>7282</v>
      </c>
      <c r="K1813">
        <v>9250</v>
      </c>
      <c r="L1813">
        <v>5680</v>
      </c>
      <c r="M1813">
        <v>-38.590000000000003</v>
      </c>
      <c r="N1813">
        <v>-1.05</v>
      </c>
      <c r="O1813">
        <v>-6.44</v>
      </c>
      <c r="P1813">
        <v>0.16</v>
      </c>
      <c r="Q1813">
        <v>-31.97</v>
      </c>
      <c r="R1813">
        <v>-14.3</v>
      </c>
      <c r="S1813">
        <v>16.690000000000001</v>
      </c>
      <c r="T1813">
        <v>1.91</v>
      </c>
      <c r="U1813">
        <v>1.83</v>
      </c>
      <c r="V1813">
        <v>2.34</v>
      </c>
      <c r="W1813">
        <v>4.22</v>
      </c>
      <c r="X1813">
        <v>2.42</v>
      </c>
      <c r="Y1813">
        <v>5.19</v>
      </c>
      <c r="Z1813">
        <v>0.55000000000000004</v>
      </c>
      <c r="AA1813">
        <v>3.52</v>
      </c>
      <c r="AB1813">
        <v>7.0000000000000007E-2</v>
      </c>
      <c r="AC1813">
        <v>7.58</v>
      </c>
      <c r="AD1813">
        <v>5.91</v>
      </c>
      <c r="AE1813">
        <v>3.22</v>
      </c>
      <c r="AF1813">
        <v>3.4750000000000001</v>
      </c>
      <c r="AG1813" t="str">
        <f>HYPERLINK("https://finance.naver.com/item/fchart.naver?code=037070", "파세코 차트보기")</f>
        <v>파세코 차트보기</v>
      </c>
    </row>
    <row r="1814" spans="1:33" x14ac:dyDescent="0.3">
      <c r="A1814" t="s">
        <v>7283</v>
      </c>
      <c r="B1814" t="s">
        <v>34</v>
      </c>
      <c r="C1814" t="s">
        <v>7284</v>
      </c>
      <c r="D1814">
        <v>284826.09999999998</v>
      </c>
      <c r="E1814" t="s">
        <v>7285</v>
      </c>
      <c r="F1814">
        <v>2.44</v>
      </c>
      <c r="G1814">
        <v>0.41999998688697809</v>
      </c>
      <c r="H1814">
        <v>311</v>
      </c>
      <c r="I1814">
        <v>0</v>
      </c>
      <c r="J1814" t="s">
        <v>7286</v>
      </c>
      <c r="K1814">
        <v>956</v>
      </c>
      <c r="L1814">
        <v>759</v>
      </c>
      <c r="M1814">
        <v>-20.61</v>
      </c>
      <c r="N1814">
        <v>2.99</v>
      </c>
      <c r="O1814">
        <v>-10.99</v>
      </c>
      <c r="P1814">
        <v>-2.2200000000000002</v>
      </c>
      <c r="Q1814">
        <v>-6.43</v>
      </c>
      <c r="R1814">
        <v>0.89</v>
      </c>
      <c r="S1814">
        <v>-1.99</v>
      </c>
      <c r="T1814">
        <v>1.18</v>
      </c>
      <c r="U1814">
        <v>1.24</v>
      </c>
      <c r="V1814">
        <v>0.73</v>
      </c>
      <c r="W1814">
        <v>2.25</v>
      </c>
      <c r="X1814">
        <v>1.27</v>
      </c>
      <c r="Y1814">
        <v>0.69</v>
      </c>
      <c r="Z1814">
        <v>2.5299999999999998</v>
      </c>
      <c r="AA1814">
        <v>8.86</v>
      </c>
      <c r="AB1814">
        <v>3.04</v>
      </c>
      <c r="AC1814">
        <v>2.86</v>
      </c>
      <c r="AD1814">
        <v>0.7</v>
      </c>
      <c r="AE1814">
        <v>2.88</v>
      </c>
      <c r="AF1814">
        <v>3.4783333333333331</v>
      </c>
      <c r="AG1814" t="str">
        <f>HYPERLINK("https://finance.naver.com/item/fchart.naver?code=002780", "진흥기업 차트보기")</f>
        <v>진흥기업 차트보기</v>
      </c>
    </row>
    <row r="1815" spans="1:33" x14ac:dyDescent="0.3">
      <c r="A1815" t="s">
        <v>7287</v>
      </c>
      <c r="B1815" t="s">
        <v>34</v>
      </c>
      <c r="C1815" t="s">
        <v>7288</v>
      </c>
      <c r="D1815">
        <v>89504</v>
      </c>
      <c r="E1815" t="s">
        <v>7289</v>
      </c>
      <c r="F1815">
        <v>25.34</v>
      </c>
      <c r="G1815">
        <v>1.070000052452087</v>
      </c>
      <c r="H1815">
        <v>386</v>
      </c>
      <c r="I1815">
        <v>0</v>
      </c>
      <c r="J1815" t="s">
        <v>7290</v>
      </c>
      <c r="K1815">
        <v>11110</v>
      </c>
      <c r="L1815">
        <v>9780</v>
      </c>
      <c r="M1815">
        <v>-11.97</v>
      </c>
      <c r="N1815">
        <v>-0.91</v>
      </c>
      <c r="O1815">
        <v>7.8</v>
      </c>
      <c r="P1815">
        <v>-3.57</v>
      </c>
      <c r="Q1815">
        <v>-2.2999999999999998</v>
      </c>
      <c r="R1815">
        <v>-5.31</v>
      </c>
      <c r="S1815">
        <v>-3.84</v>
      </c>
      <c r="T1815">
        <v>1.07</v>
      </c>
      <c r="U1815">
        <v>2.2999999999999998</v>
      </c>
      <c r="V1815">
        <v>1.4</v>
      </c>
      <c r="W1815">
        <v>2.37</v>
      </c>
      <c r="X1815">
        <v>0.5</v>
      </c>
      <c r="Y1815">
        <v>1.54</v>
      </c>
      <c r="Z1815">
        <v>0.85</v>
      </c>
      <c r="AA1815">
        <v>3.39</v>
      </c>
      <c r="AB1815">
        <v>2.5499999999999998</v>
      </c>
      <c r="AC1815">
        <v>0.97</v>
      </c>
      <c r="AD1815">
        <v>10.62</v>
      </c>
      <c r="AE1815">
        <v>2.4900000000000002</v>
      </c>
      <c r="AF1815">
        <v>3.4783333333333331</v>
      </c>
      <c r="AG1815" t="str">
        <f>HYPERLINK("https://finance.naver.com/item/fchart.naver?code=020560", "아시아나항공 차트보기")</f>
        <v>아시아나항공 차트보기</v>
      </c>
    </row>
    <row r="1816" spans="1:33" x14ac:dyDescent="0.3">
      <c r="A1816" t="s">
        <v>7291</v>
      </c>
      <c r="B1816" t="s">
        <v>55</v>
      </c>
      <c r="C1816" t="s">
        <v>7292</v>
      </c>
      <c r="D1816">
        <v>177730.43</v>
      </c>
      <c r="E1816" t="s">
        <v>7293</v>
      </c>
      <c r="F1816">
        <v>0</v>
      </c>
      <c r="G1816">
        <v>1.419999957084656</v>
      </c>
      <c r="H1816">
        <v>0</v>
      </c>
      <c r="I1816">
        <v>0</v>
      </c>
      <c r="J1816" t="s">
        <v>7294</v>
      </c>
      <c r="K1816">
        <v>2280</v>
      </c>
      <c r="L1816">
        <v>2330</v>
      </c>
      <c r="M1816">
        <v>2.19</v>
      </c>
      <c r="N1816">
        <v>4.0199999999999996</v>
      </c>
      <c r="O1816">
        <v>-4.74</v>
      </c>
      <c r="P1816">
        <v>-7.98</v>
      </c>
      <c r="Q1816">
        <v>-10.35</v>
      </c>
      <c r="R1816">
        <v>60.16</v>
      </c>
      <c r="S1816">
        <v>-16.5</v>
      </c>
      <c r="T1816">
        <v>5.39</v>
      </c>
      <c r="U1816">
        <v>3.55</v>
      </c>
      <c r="V1816">
        <v>6.33</v>
      </c>
      <c r="W1816">
        <v>7.86</v>
      </c>
      <c r="X1816">
        <v>6.39</v>
      </c>
      <c r="Y1816">
        <v>2.4300000000000002</v>
      </c>
      <c r="Z1816">
        <v>0.75</v>
      </c>
      <c r="AA1816">
        <v>1.34</v>
      </c>
      <c r="AB1816">
        <v>1.26</v>
      </c>
      <c r="AC1816">
        <v>1.32</v>
      </c>
      <c r="AD1816">
        <v>9.41</v>
      </c>
      <c r="AE1816">
        <v>6.79</v>
      </c>
      <c r="AF1816">
        <v>3.4783333333333331</v>
      </c>
      <c r="AG1816" t="str">
        <f>HYPERLINK("https://finance.naver.com/item/fchart.naver?code=263050", "유틸렉스 차트보기")</f>
        <v>유틸렉스 차트보기</v>
      </c>
    </row>
    <row r="1817" spans="1:33" x14ac:dyDescent="0.3">
      <c r="A1817" t="s">
        <v>7295</v>
      </c>
      <c r="B1817" t="s">
        <v>55</v>
      </c>
      <c r="C1817" t="s">
        <v>7296</v>
      </c>
      <c r="D1817">
        <v>45642.57</v>
      </c>
      <c r="E1817" t="s">
        <v>7297</v>
      </c>
      <c r="F1817">
        <v>4.07</v>
      </c>
      <c r="G1817">
        <v>0.2099999934434891</v>
      </c>
      <c r="H1817">
        <v>891</v>
      </c>
      <c r="I1817">
        <v>4.6100001335144043</v>
      </c>
      <c r="J1817" t="s">
        <v>7298</v>
      </c>
      <c r="K1817">
        <v>3875</v>
      </c>
      <c r="L1817">
        <v>3625</v>
      </c>
      <c r="M1817">
        <v>-6.45</v>
      </c>
      <c r="N1817">
        <v>-4.2300000000000004</v>
      </c>
      <c r="O1817">
        <v>-5.49</v>
      </c>
      <c r="P1817">
        <v>4.2699999999999996</v>
      </c>
      <c r="Q1817">
        <v>4.32</v>
      </c>
      <c r="R1817">
        <v>-6.22</v>
      </c>
      <c r="S1817">
        <v>6.24</v>
      </c>
      <c r="T1817">
        <v>1.33</v>
      </c>
      <c r="U1817">
        <v>1.2</v>
      </c>
      <c r="V1817">
        <v>1.81</v>
      </c>
      <c r="W1817">
        <v>3.96</v>
      </c>
      <c r="X1817">
        <v>1.06</v>
      </c>
      <c r="Y1817">
        <v>1.64</v>
      </c>
      <c r="Z1817">
        <v>3.18</v>
      </c>
      <c r="AA1817">
        <v>4.58</v>
      </c>
      <c r="AB1817">
        <v>2.36</v>
      </c>
      <c r="AC1817">
        <v>1.0900000000000001</v>
      </c>
      <c r="AD1817">
        <v>5.87</v>
      </c>
      <c r="AE1817">
        <v>3.8</v>
      </c>
      <c r="AF1817">
        <v>3.48</v>
      </c>
      <c r="AG1817" t="str">
        <f>HYPERLINK("https://finance.naver.com/item/fchart.naver?code=121440", "골프존뉴딘홀딩스 차트보기")</f>
        <v>골프존뉴딘홀딩스 차트보기</v>
      </c>
    </row>
    <row r="1818" spans="1:33" x14ac:dyDescent="0.3">
      <c r="A1818" t="s">
        <v>7299</v>
      </c>
      <c r="B1818" t="s">
        <v>55</v>
      </c>
      <c r="C1818" t="s">
        <v>7300</v>
      </c>
      <c r="D1818">
        <v>431396</v>
      </c>
      <c r="E1818" t="s">
        <v>7301</v>
      </c>
      <c r="F1818">
        <v>0</v>
      </c>
      <c r="G1818">
        <v>6.4800000190734863</v>
      </c>
      <c r="H1818">
        <v>0</v>
      </c>
      <c r="I1818">
        <v>0</v>
      </c>
      <c r="J1818" t="s">
        <v>7302</v>
      </c>
      <c r="K1818">
        <v>26507</v>
      </c>
      <c r="L1818">
        <v>21350</v>
      </c>
      <c r="M1818">
        <v>-19.46</v>
      </c>
      <c r="N1818">
        <v>-8.9600000000000009</v>
      </c>
      <c r="O1818">
        <v>32.85</v>
      </c>
      <c r="P1818">
        <v>-18.68</v>
      </c>
      <c r="Q1818">
        <v>6.75</v>
      </c>
      <c r="R1818">
        <v>-5.33</v>
      </c>
      <c r="S1818">
        <v>8.65</v>
      </c>
      <c r="T1818">
        <v>3.28</v>
      </c>
      <c r="U1818">
        <v>4.1399999999999997</v>
      </c>
      <c r="V1818">
        <v>3.41</v>
      </c>
      <c r="W1818">
        <v>6.43</v>
      </c>
      <c r="X1818">
        <v>5.2</v>
      </c>
      <c r="Y1818">
        <v>3.24</v>
      </c>
      <c r="Z1818">
        <v>2.73</v>
      </c>
      <c r="AA1818">
        <v>7.93</v>
      </c>
      <c r="AB1818">
        <v>5.48</v>
      </c>
      <c r="AC1818">
        <v>1.05</v>
      </c>
      <c r="AD1818">
        <v>1.02</v>
      </c>
      <c r="AE1818">
        <v>2.67</v>
      </c>
      <c r="AF1818">
        <v>3.48</v>
      </c>
      <c r="AG1818" t="str">
        <f>HYPERLINK("https://finance.naver.com/item/fchart.naver?code=445680", "큐리옥스바이오시스템즈 차트보기")</f>
        <v>큐리옥스바이오시스템즈 차트보기</v>
      </c>
    </row>
    <row r="1819" spans="1:33" x14ac:dyDescent="0.3">
      <c r="A1819" t="s">
        <v>7303</v>
      </c>
      <c r="B1819" t="s">
        <v>55</v>
      </c>
      <c r="C1819" t="s">
        <v>7304</v>
      </c>
      <c r="D1819">
        <v>21046.19</v>
      </c>
      <c r="E1819" t="s">
        <v>7305</v>
      </c>
      <c r="F1819">
        <v>11.36</v>
      </c>
      <c r="G1819">
        <v>1.6599999666213989</v>
      </c>
      <c r="H1819">
        <v>16832</v>
      </c>
      <c r="I1819">
        <v>1.049999952316284</v>
      </c>
      <c r="J1819" t="s">
        <v>7306</v>
      </c>
      <c r="K1819">
        <v>298000</v>
      </c>
      <c r="L1819">
        <v>191200</v>
      </c>
      <c r="M1819">
        <v>-35.840000000000003</v>
      </c>
      <c r="N1819">
        <v>-2.5499999999999998</v>
      </c>
      <c r="O1819">
        <v>-9.93</v>
      </c>
      <c r="P1819">
        <v>-5.13</v>
      </c>
      <c r="Q1819">
        <v>-9.7100000000000009</v>
      </c>
      <c r="R1819">
        <v>-10.53</v>
      </c>
      <c r="S1819">
        <v>-9.92</v>
      </c>
      <c r="T1819">
        <v>2.5</v>
      </c>
      <c r="U1819">
        <v>2.5</v>
      </c>
      <c r="V1819">
        <v>2.23</v>
      </c>
      <c r="W1819">
        <v>3.8</v>
      </c>
      <c r="X1819">
        <v>2.2599999999999998</v>
      </c>
      <c r="Y1819">
        <v>1.55</v>
      </c>
      <c r="Z1819">
        <v>1.02</v>
      </c>
      <c r="AA1819">
        <v>3.97</v>
      </c>
      <c r="AB1819">
        <v>2.2999999999999998</v>
      </c>
      <c r="AC1819">
        <v>2.56</v>
      </c>
      <c r="AD1819">
        <v>4.66</v>
      </c>
      <c r="AE1819">
        <v>6.4</v>
      </c>
      <c r="AF1819">
        <v>3.4849999999999999</v>
      </c>
      <c r="AG1819" t="str">
        <f>HYPERLINK("https://finance.naver.com/item/fchart.naver?code=357780", "솔브레인 차트보기")</f>
        <v>솔브레인 차트보기</v>
      </c>
    </row>
    <row r="1820" spans="1:33" x14ac:dyDescent="0.3">
      <c r="A1820" t="s">
        <v>7307</v>
      </c>
      <c r="B1820" t="s">
        <v>55</v>
      </c>
      <c r="C1820" t="s">
        <v>7308</v>
      </c>
      <c r="D1820">
        <v>344240.14</v>
      </c>
      <c r="E1820" t="s">
        <v>7309</v>
      </c>
      <c r="F1820">
        <v>94.12</v>
      </c>
      <c r="G1820">
        <v>4.4800000190734863</v>
      </c>
      <c r="H1820">
        <v>221</v>
      </c>
      <c r="I1820">
        <v>0.239999994635582</v>
      </c>
      <c r="J1820" t="s">
        <v>7310</v>
      </c>
      <c r="K1820">
        <v>17120</v>
      </c>
      <c r="L1820">
        <v>20800</v>
      </c>
      <c r="M1820">
        <v>21.5</v>
      </c>
      <c r="N1820">
        <v>30</v>
      </c>
      <c r="O1820">
        <v>26.56</v>
      </c>
      <c r="P1820">
        <v>-3</v>
      </c>
      <c r="Q1820">
        <v>-14.45</v>
      </c>
      <c r="R1820">
        <v>4.01</v>
      </c>
      <c r="S1820">
        <v>-1.69</v>
      </c>
      <c r="T1820">
        <v>14.2</v>
      </c>
      <c r="U1820">
        <v>2.71</v>
      </c>
      <c r="V1820">
        <v>2.69</v>
      </c>
      <c r="W1820">
        <v>3.72</v>
      </c>
      <c r="X1820">
        <v>1.4</v>
      </c>
      <c r="Y1820">
        <v>1.48</v>
      </c>
      <c r="Z1820">
        <v>2.11</v>
      </c>
      <c r="AA1820">
        <v>9.8000000000000007</v>
      </c>
      <c r="AB1820">
        <v>1.1200000000000001</v>
      </c>
      <c r="AC1820">
        <v>3.88</v>
      </c>
      <c r="AD1820">
        <v>2.86</v>
      </c>
      <c r="AE1820">
        <v>1.1399999999999999</v>
      </c>
      <c r="AF1820">
        <v>3.4849999999999999</v>
      </c>
      <c r="AG1820" t="str">
        <f>HYPERLINK("https://finance.naver.com/item/fchart.naver?code=361390", "제노코 차트보기")</f>
        <v>제노코 차트보기</v>
      </c>
    </row>
    <row r="1821" spans="1:33" x14ac:dyDescent="0.3">
      <c r="A1821" t="s">
        <v>7311</v>
      </c>
      <c r="B1821" t="s">
        <v>55</v>
      </c>
      <c r="C1821" t="s">
        <v>7312</v>
      </c>
      <c r="D1821">
        <v>453181.19</v>
      </c>
      <c r="E1821" t="s">
        <v>7313</v>
      </c>
      <c r="F1821">
        <v>36.15</v>
      </c>
      <c r="G1821">
        <v>1.700000047683716</v>
      </c>
      <c r="H1821">
        <v>369</v>
      </c>
      <c r="I1821">
        <v>1.5</v>
      </c>
      <c r="J1821" t="s">
        <v>7314</v>
      </c>
      <c r="K1821">
        <v>15920</v>
      </c>
      <c r="L1821">
        <v>13340</v>
      </c>
      <c r="M1821">
        <v>-16.21</v>
      </c>
      <c r="N1821">
        <v>-2.34</v>
      </c>
      <c r="O1821">
        <v>-2.63</v>
      </c>
      <c r="P1821">
        <v>18.829999999999998</v>
      </c>
      <c r="Q1821">
        <v>4</v>
      </c>
      <c r="R1821">
        <v>-21.54</v>
      </c>
      <c r="S1821">
        <v>-5.42</v>
      </c>
      <c r="T1821">
        <v>3.56</v>
      </c>
      <c r="U1821">
        <v>5.84</v>
      </c>
      <c r="V1821">
        <v>6.2</v>
      </c>
      <c r="W1821">
        <v>5.5</v>
      </c>
      <c r="X1821">
        <v>1.78</v>
      </c>
      <c r="Y1821">
        <v>1.38</v>
      </c>
      <c r="Z1821">
        <v>0.66</v>
      </c>
      <c r="AA1821">
        <v>0.45</v>
      </c>
      <c r="AB1821">
        <v>3.04</v>
      </c>
      <c r="AC1821">
        <v>0.73</v>
      </c>
      <c r="AD1821">
        <v>12.1</v>
      </c>
      <c r="AE1821">
        <v>3.93</v>
      </c>
      <c r="AF1821">
        <v>3.4849999999999999</v>
      </c>
      <c r="AG1821" t="str">
        <f>HYPERLINK("https://finance.naver.com/item/fchart.naver?code=382840", "원준 차트보기")</f>
        <v>원준 차트보기</v>
      </c>
    </row>
    <row r="1822" spans="1:33" x14ac:dyDescent="0.3">
      <c r="A1822" t="s">
        <v>7315</v>
      </c>
      <c r="B1822" t="s">
        <v>55</v>
      </c>
      <c r="C1822" t="s">
        <v>7316</v>
      </c>
      <c r="D1822">
        <v>141435.19</v>
      </c>
      <c r="E1822" t="s">
        <v>7317</v>
      </c>
      <c r="F1822">
        <v>11.58</v>
      </c>
      <c r="G1822">
        <v>1.4800000190734861</v>
      </c>
      <c r="H1822">
        <v>1560</v>
      </c>
      <c r="I1822">
        <v>2.2100000381469731</v>
      </c>
      <c r="J1822" t="s">
        <v>7318</v>
      </c>
      <c r="K1822">
        <v>35950</v>
      </c>
      <c r="L1822">
        <v>18070</v>
      </c>
      <c r="M1822">
        <v>-49.74</v>
      </c>
      <c r="N1822">
        <v>-16.54</v>
      </c>
      <c r="O1822">
        <v>-24.49</v>
      </c>
      <c r="P1822">
        <v>-0.16</v>
      </c>
      <c r="Q1822">
        <v>-14.33</v>
      </c>
      <c r="R1822">
        <v>-7.22</v>
      </c>
      <c r="S1822">
        <v>-6.23</v>
      </c>
      <c r="T1822">
        <v>6.05</v>
      </c>
      <c r="U1822">
        <v>2.78</v>
      </c>
      <c r="V1822">
        <v>2.4500000000000002</v>
      </c>
      <c r="W1822">
        <v>3.42</v>
      </c>
      <c r="X1822">
        <v>2.38</v>
      </c>
      <c r="Y1822">
        <v>3</v>
      </c>
      <c r="Z1822">
        <v>2.73</v>
      </c>
      <c r="AA1822">
        <v>8.81</v>
      </c>
      <c r="AB1822">
        <v>7.0000000000000007E-2</v>
      </c>
      <c r="AC1822">
        <v>4.1900000000000004</v>
      </c>
      <c r="AD1822">
        <v>3.03</v>
      </c>
      <c r="AE1822">
        <v>2.08</v>
      </c>
      <c r="AF1822">
        <v>3.4850000000000012</v>
      </c>
      <c r="AG1822" t="str">
        <f>HYPERLINK("https://finance.naver.com/item/fchart.naver?code=237880", "클리오 차트보기")</f>
        <v>클리오 차트보기</v>
      </c>
    </row>
    <row r="1823" spans="1:33" x14ac:dyDescent="0.3">
      <c r="A1823" t="s">
        <v>7319</v>
      </c>
      <c r="B1823" t="s">
        <v>34</v>
      </c>
      <c r="C1823" t="s">
        <v>7320</v>
      </c>
      <c r="D1823">
        <v>181382.67</v>
      </c>
      <c r="E1823" t="s">
        <v>7321</v>
      </c>
      <c r="J1823" t="s">
        <v>7322</v>
      </c>
      <c r="K1823">
        <v>6396</v>
      </c>
      <c r="L1823">
        <v>5660</v>
      </c>
      <c r="M1823">
        <v>-11.51</v>
      </c>
      <c r="N1823">
        <v>-2.58</v>
      </c>
      <c r="O1823">
        <v>-3.18</v>
      </c>
      <c r="P1823">
        <v>-1.72</v>
      </c>
      <c r="Q1823">
        <v>-6.98</v>
      </c>
      <c r="R1823">
        <v>8.33</v>
      </c>
      <c r="S1823">
        <v>0</v>
      </c>
      <c r="T1823">
        <v>0.63</v>
      </c>
      <c r="U1823">
        <v>1.06</v>
      </c>
      <c r="V1823">
        <v>1.97</v>
      </c>
      <c r="W1823">
        <v>1.67</v>
      </c>
      <c r="X1823">
        <v>0.95</v>
      </c>
      <c r="Y1823">
        <v>0.91</v>
      </c>
      <c r="Z1823">
        <v>4.0999999999999996</v>
      </c>
      <c r="AA1823">
        <v>3</v>
      </c>
      <c r="AB1823">
        <v>0.87</v>
      </c>
      <c r="AC1823">
        <v>4.18</v>
      </c>
      <c r="AD1823">
        <v>8.77</v>
      </c>
      <c r="AE1823">
        <v>0</v>
      </c>
      <c r="AF1823">
        <v>3.4866666666666659</v>
      </c>
      <c r="AG1823" t="str">
        <f>HYPERLINK("https://finance.naver.com/item/fchart.naver?code=293940", "신한알파리츠 차트보기")</f>
        <v>신한알파리츠 차트보기</v>
      </c>
    </row>
    <row r="1824" spans="1:33" x14ac:dyDescent="0.3">
      <c r="A1824" t="s">
        <v>7323</v>
      </c>
      <c r="B1824" t="s">
        <v>34</v>
      </c>
      <c r="C1824" t="s">
        <v>7324</v>
      </c>
      <c r="D1824">
        <v>27959.24</v>
      </c>
      <c r="E1824" t="s">
        <v>7325</v>
      </c>
      <c r="F1824">
        <v>183.33</v>
      </c>
      <c r="G1824">
        <v>0.89999997615814209</v>
      </c>
      <c r="H1824">
        <v>48</v>
      </c>
      <c r="I1824">
        <v>1.139999985694885</v>
      </c>
      <c r="J1824" t="s">
        <v>7326</v>
      </c>
      <c r="K1824">
        <v>14050</v>
      </c>
      <c r="L1824">
        <v>8800</v>
      </c>
      <c r="M1824">
        <v>-37.369999999999997</v>
      </c>
      <c r="N1824">
        <v>0.34</v>
      </c>
      <c r="O1824">
        <v>-7.54</v>
      </c>
      <c r="P1824">
        <v>-5.94</v>
      </c>
      <c r="Q1824">
        <v>-7.12</v>
      </c>
      <c r="R1824">
        <v>-9.1300000000000008</v>
      </c>
      <c r="S1824">
        <v>-8.2200000000000006</v>
      </c>
      <c r="T1824">
        <v>2</v>
      </c>
      <c r="U1824">
        <v>1.76</v>
      </c>
      <c r="V1824">
        <v>1.94</v>
      </c>
      <c r="W1824">
        <v>3.84</v>
      </c>
      <c r="X1824">
        <v>1.81</v>
      </c>
      <c r="Y1824">
        <v>1.26</v>
      </c>
      <c r="Z1824">
        <v>0.17</v>
      </c>
      <c r="AA1824">
        <v>4.28</v>
      </c>
      <c r="AB1824">
        <v>3.06</v>
      </c>
      <c r="AC1824">
        <v>1.85</v>
      </c>
      <c r="AD1824">
        <v>5.04</v>
      </c>
      <c r="AE1824">
        <v>6.52</v>
      </c>
      <c r="AF1824">
        <v>3.4866666666666659</v>
      </c>
      <c r="AG1824" t="str">
        <f>HYPERLINK("https://finance.naver.com/item/fchart.naver?code=004380", "삼익THK 차트보기")</f>
        <v>삼익THK 차트보기</v>
      </c>
    </row>
    <row r="1825" spans="1:33" x14ac:dyDescent="0.3">
      <c r="A1825" t="s">
        <v>7327</v>
      </c>
      <c r="B1825" t="s">
        <v>55</v>
      </c>
      <c r="C1825" t="s">
        <v>7328</v>
      </c>
      <c r="D1825">
        <v>328944.95</v>
      </c>
      <c r="E1825" t="s">
        <v>7329</v>
      </c>
      <c r="F1825">
        <v>45.7</v>
      </c>
      <c r="G1825">
        <v>2.089999914169312</v>
      </c>
      <c r="H1825">
        <v>172</v>
      </c>
      <c r="I1825">
        <v>0.63999998569488525</v>
      </c>
      <c r="J1825" t="s">
        <v>7330</v>
      </c>
      <c r="K1825">
        <v>10190</v>
      </c>
      <c r="L1825">
        <v>7860</v>
      </c>
      <c r="M1825">
        <v>-22.87</v>
      </c>
      <c r="N1825">
        <v>-12.86</v>
      </c>
      <c r="O1825">
        <v>-4.62</v>
      </c>
      <c r="P1825">
        <v>-11.33</v>
      </c>
      <c r="Q1825">
        <v>-16.12</v>
      </c>
      <c r="R1825">
        <v>-11.33</v>
      </c>
      <c r="S1825">
        <v>47.5</v>
      </c>
      <c r="T1825">
        <v>3.5</v>
      </c>
      <c r="U1825">
        <v>2.44</v>
      </c>
      <c r="V1825">
        <v>3.72</v>
      </c>
      <c r="W1825">
        <v>7.19</v>
      </c>
      <c r="X1825">
        <v>4.4000000000000004</v>
      </c>
      <c r="Y1825">
        <v>6.33</v>
      </c>
      <c r="Z1825">
        <v>3.67</v>
      </c>
      <c r="AA1825">
        <v>1.89</v>
      </c>
      <c r="AB1825">
        <v>3.05</v>
      </c>
      <c r="AC1825">
        <v>2.2400000000000002</v>
      </c>
      <c r="AD1825">
        <v>2.57</v>
      </c>
      <c r="AE1825">
        <v>7.5</v>
      </c>
      <c r="AF1825">
        <v>3.4866666666666668</v>
      </c>
      <c r="AG1825" t="str">
        <f>HYPERLINK("https://finance.naver.com/item/fchart.naver?code=396470", "워트 차트보기")</f>
        <v>워트 차트보기</v>
      </c>
    </row>
    <row r="1826" spans="1:33" x14ac:dyDescent="0.3">
      <c r="A1826" t="s">
        <v>7331</v>
      </c>
      <c r="B1826" t="s">
        <v>55</v>
      </c>
      <c r="C1826" t="s">
        <v>7332</v>
      </c>
      <c r="D1826">
        <v>5920.14</v>
      </c>
      <c r="E1826" t="s">
        <v>7333</v>
      </c>
      <c r="F1826">
        <v>2.7</v>
      </c>
      <c r="G1826">
        <v>0.25999999046325678</v>
      </c>
      <c r="H1826">
        <v>3355</v>
      </c>
      <c r="I1826">
        <v>3.4300000667572021</v>
      </c>
      <c r="J1826" t="s">
        <v>7334</v>
      </c>
      <c r="K1826">
        <v>10120</v>
      </c>
      <c r="L1826">
        <v>9050</v>
      </c>
      <c r="M1826">
        <v>-10.57</v>
      </c>
      <c r="N1826">
        <v>0.56000000000000005</v>
      </c>
      <c r="O1826">
        <v>-2.68</v>
      </c>
      <c r="P1826">
        <v>1.08</v>
      </c>
      <c r="Q1826">
        <v>-4.95</v>
      </c>
      <c r="R1826">
        <v>3.31</v>
      </c>
      <c r="S1826">
        <v>-5.77</v>
      </c>
      <c r="T1826">
        <v>0.65</v>
      </c>
      <c r="U1826">
        <v>0.55000000000000004</v>
      </c>
      <c r="V1826">
        <v>0.86</v>
      </c>
      <c r="W1826">
        <v>2.0699999999999998</v>
      </c>
      <c r="X1826">
        <v>0.72</v>
      </c>
      <c r="Y1826">
        <v>0.83</v>
      </c>
      <c r="Z1826">
        <v>0.86</v>
      </c>
      <c r="AA1826">
        <v>4.87</v>
      </c>
      <c r="AB1826">
        <v>1.26</v>
      </c>
      <c r="AC1826">
        <v>2.39</v>
      </c>
      <c r="AD1826">
        <v>4.5999999999999996</v>
      </c>
      <c r="AE1826">
        <v>6.95</v>
      </c>
      <c r="AF1826">
        <v>3.4883333333333328</v>
      </c>
      <c r="AG1826" t="str">
        <f>HYPERLINK("https://finance.naver.com/item/fchart.naver?code=023600", "삼보판지 차트보기")</f>
        <v>삼보판지 차트보기</v>
      </c>
    </row>
    <row r="1827" spans="1:33" x14ac:dyDescent="0.3">
      <c r="A1827" t="s">
        <v>7335</v>
      </c>
      <c r="B1827" t="s">
        <v>55</v>
      </c>
      <c r="C1827" t="s">
        <v>7336</v>
      </c>
      <c r="D1827">
        <v>10645.33</v>
      </c>
      <c r="E1827" t="s">
        <v>7337</v>
      </c>
      <c r="F1827">
        <v>18.12</v>
      </c>
      <c r="G1827">
        <v>1</v>
      </c>
      <c r="H1827">
        <v>703</v>
      </c>
      <c r="I1827">
        <v>0.77999997138977051</v>
      </c>
      <c r="J1827" t="s">
        <v>7338</v>
      </c>
      <c r="K1827">
        <v>18000</v>
      </c>
      <c r="L1827">
        <v>12740</v>
      </c>
      <c r="M1827">
        <v>-29.22</v>
      </c>
      <c r="N1827">
        <v>-3.34</v>
      </c>
      <c r="O1827">
        <v>-12.42</v>
      </c>
      <c r="P1827">
        <v>3.22</v>
      </c>
      <c r="Q1827">
        <v>1.54</v>
      </c>
      <c r="R1827">
        <v>-5.67</v>
      </c>
      <c r="S1827">
        <v>-7.05</v>
      </c>
      <c r="T1827">
        <v>1.75</v>
      </c>
      <c r="U1827">
        <v>1.38</v>
      </c>
      <c r="V1827">
        <v>2.13</v>
      </c>
      <c r="W1827">
        <v>3.53</v>
      </c>
      <c r="X1827">
        <v>1.44</v>
      </c>
      <c r="Y1827">
        <v>1.7</v>
      </c>
      <c r="Z1827">
        <v>1.91</v>
      </c>
      <c r="AA1827">
        <v>9</v>
      </c>
      <c r="AB1827">
        <v>1.51</v>
      </c>
      <c r="AC1827">
        <v>0.44</v>
      </c>
      <c r="AD1827">
        <v>3.94</v>
      </c>
      <c r="AE1827">
        <v>4.1500000000000004</v>
      </c>
      <c r="AF1827">
        <v>3.4916666666666671</v>
      </c>
      <c r="AG1827" t="str">
        <f>HYPERLINK("https://finance.naver.com/item/fchart.naver?code=294570", "쿠콘 차트보기")</f>
        <v>쿠콘 차트보기</v>
      </c>
    </row>
    <row r="1828" spans="1:33" x14ac:dyDescent="0.3">
      <c r="A1828" t="s">
        <v>7339</v>
      </c>
      <c r="B1828" t="s">
        <v>34</v>
      </c>
      <c r="C1828" t="s">
        <v>7340</v>
      </c>
      <c r="D1828">
        <v>1026626.48</v>
      </c>
      <c r="E1828" t="s">
        <v>7341</v>
      </c>
      <c r="F1828">
        <v>29.55</v>
      </c>
      <c r="G1828">
        <v>4.1399998664855957</v>
      </c>
      <c r="H1828">
        <v>2298</v>
      </c>
      <c r="I1828">
        <v>0.74000000953674316</v>
      </c>
      <c r="J1828" t="s">
        <v>7342</v>
      </c>
      <c r="K1828">
        <v>54900</v>
      </c>
      <c r="L1828">
        <v>67900</v>
      </c>
      <c r="M1828">
        <v>23.68</v>
      </c>
      <c r="N1828">
        <v>17.88</v>
      </c>
      <c r="O1828">
        <v>12.93</v>
      </c>
      <c r="P1828">
        <v>-3.16</v>
      </c>
      <c r="Q1828">
        <v>-5.4</v>
      </c>
      <c r="R1828">
        <v>12.2</v>
      </c>
      <c r="S1828">
        <v>0.56999999999999995</v>
      </c>
      <c r="T1828">
        <v>2.95</v>
      </c>
      <c r="U1828">
        <v>2.14</v>
      </c>
      <c r="V1828">
        <v>1.84</v>
      </c>
      <c r="W1828">
        <v>2.95</v>
      </c>
      <c r="X1828">
        <v>2.4500000000000002</v>
      </c>
      <c r="Y1828">
        <v>1.79</v>
      </c>
      <c r="Z1828">
        <v>6.06</v>
      </c>
      <c r="AA1828">
        <v>6.04</v>
      </c>
      <c r="AB1828">
        <v>1.72</v>
      </c>
      <c r="AC1828">
        <v>1.83</v>
      </c>
      <c r="AD1828">
        <v>4.9800000000000004</v>
      </c>
      <c r="AE1828">
        <v>0.32</v>
      </c>
      <c r="AF1828">
        <v>3.4916666666666671</v>
      </c>
      <c r="AG1828" t="str">
        <f>HYPERLINK("https://finance.naver.com/item/fchart.naver?code=047810", "한국항공우주 차트보기")</f>
        <v>한국항공우주 차트보기</v>
      </c>
    </row>
    <row r="1829" spans="1:33" x14ac:dyDescent="0.3">
      <c r="A1829" t="s">
        <v>7343</v>
      </c>
      <c r="B1829" t="s">
        <v>55</v>
      </c>
      <c r="C1829" t="s">
        <v>7344</v>
      </c>
      <c r="D1829">
        <v>438178</v>
      </c>
      <c r="E1829" t="s">
        <v>7345</v>
      </c>
      <c r="F1829">
        <v>0</v>
      </c>
      <c r="G1829">
        <v>0.6600000262260437</v>
      </c>
      <c r="H1829">
        <v>0</v>
      </c>
      <c r="I1829">
        <v>0</v>
      </c>
      <c r="J1829" t="s">
        <v>7346</v>
      </c>
      <c r="K1829">
        <v>1730</v>
      </c>
      <c r="L1829">
        <v>912</v>
      </c>
      <c r="M1829">
        <v>-47.28</v>
      </c>
      <c r="N1829">
        <v>-5</v>
      </c>
      <c r="O1829">
        <v>-4.6399999999999997</v>
      </c>
      <c r="P1829">
        <v>5.67</v>
      </c>
      <c r="Q1829">
        <v>-12.66</v>
      </c>
      <c r="R1829">
        <v>-16.170000000000002</v>
      </c>
      <c r="S1829">
        <v>-8.4</v>
      </c>
      <c r="T1829">
        <v>2.34</v>
      </c>
      <c r="U1829">
        <v>1.98</v>
      </c>
      <c r="V1829">
        <v>4.46</v>
      </c>
      <c r="W1829">
        <v>6.01</v>
      </c>
      <c r="X1829">
        <v>1.78</v>
      </c>
      <c r="Y1829">
        <v>2.09</v>
      </c>
      <c r="Z1829">
        <v>2.14</v>
      </c>
      <c r="AA1829">
        <v>2.34</v>
      </c>
      <c r="AB1829">
        <v>1.27</v>
      </c>
      <c r="AC1829">
        <v>2.11</v>
      </c>
      <c r="AD1829">
        <v>9.08</v>
      </c>
      <c r="AE1829">
        <v>4.0199999999999996</v>
      </c>
      <c r="AF1829">
        <v>3.4933333333333332</v>
      </c>
      <c r="AG1829" t="str">
        <f>HYPERLINK("https://finance.naver.com/item/fchart.naver?code=033170", "시그네틱스 차트보기")</f>
        <v>시그네틱스 차트보기</v>
      </c>
    </row>
    <row r="1830" spans="1:33" x14ac:dyDescent="0.3">
      <c r="A1830" t="s">
        <v>7347</v>
      </c>
      <c r="B1830" t="s">
        <v>34</v>
      </c>
      <c r="C1830" t="s">
        <v>7348</v>
      </c>
      <c r="D1830">
        <v>861686.62</v>
      </c>
      <c r="E1830" t="s">
        <v>7349</v>
      </c>
      <c r="F1830">
        <v>0</v>
      </c>
      <c r="G1830">
        <v>1.070000052452087</v>
      </c>
      <c r="H1830">
        <v>0</v>
      </c>
      <c r="I1830">
        <v>0</v>
      </c>
      <c r="J1830" t="s">
        <v>7350</v>
      </c>
      <c r="K1830">
        <v>1129</v>
      </c>
      <c r="L1830">
        <v>894</v>
      </c>
      <c r="M1830">
        <v>-20.81</v>
      </c>
      <c r="N1830">
        <v>-0.89</v>
      </c>
      <c r="O1830">
        <v>-4.5599999999999996</v>
      </c>
      <c r="P1830">
        <v>-3.55</v>
      </c>
      <c r="Q1830">
        <v>-9.5</v>
      </c>
      <c r="R1830">
        <v>-7.95</v>
      </c>
      <c r="S1830">
        <v>-9.15</v>
      </c>
      <c r="T1830">
        <v>1.18</v>
      </c>
      <c r="U1830">
        <v>2.4</v>
      </c>
      <c r="V1830">
        <v>1.54</v>
      </c>
      <c r="W1830">
        <v>3.17</v>
      </c>
      <c r="X1830">
        <v>1.36</v>
      </c>
      <c r="Y1830">
        <v>1.28</v>
      </c>
      <c r="Z1830">
        <v>0.75</v>
      </c>
      <c r="AA1830">
        <v>1.9</v>
      </c>
      <c r="AB1830">
        <v>2.31</v>
      </c>
      <c r="AC1830">
        <v>3</v>
      </c>
      <c r="AD1830">
        <v>5.85</v>
      </c>
      <c r="AE1830">
        <v>7.15</v>
      </c>
      <c r="AF1830">
        <v>3.4933333333333341</v>
      </c>
      <c r="AG1830" t="str">
        <f>HYPERLINK("https://finance.naver.com/item/fchart.naver?code=016880", "웅진 차트보기")</f>
        <v>웅진 차트보기</v>
      </c>
    </row>
    <row r="1831" spans="1:33" x14ac:dyDescent="0.3">
      <c r="A1831" t="s">
        <v>7351</v>
      </c>
      <c r="B1831" t="s">
        <v>34</v>
      </c>
      <c r="C1831" t="s">
        <v>7352</v>
      </c>
      <c r="D1831">
        <v>1818.33</v>
      </c>
      <c r="E1831" t="s">
        <v>7353</v>
      </c>
      <c r="F1831">
        <v>0</v>
      </c>
      <c r="G1831">
        <v>0.31000000238418579</v>
      </c>
      <c r="H1831">
        <v>0</v>
      </c>
      <c r="I1831">
        <v>0</v>
      </c>
      <c r="J1831" t="s">
        <v>7354</v>
      </c>
      <c r="K1831">
        <v>11470</v>
      </c>
      <c r="L1831">
        <v>8250</v>
      </c>
      <c r="M1831">
        <v>-28.07</v>
      </c>
      <c r="N1831">
        <v>-0.12</v>
      </c>
      <c r="O1831">
        <v>-3.5</v>
      </c>
      <c r="P1831">
        <v>-2.44</v>
      </c>
      <c r="Q1831">
        <v>-5.55</v>
      </c>
      <c r="R1831">
        <v>-2.2999999999999998</v>
      </c>
      <c r="S1831">
        <v>-12.79</v>
      </c>
      <c r="T1831">
        <v>0.77</v>
      </c>
      <c r="U1831">
        <v>1.05</v>
      </c>
      <c r="V1831">
        <v>1.85</v>
      </c>
      <c r="W1831">
        <v>1.65</v>
      </c>
      <c r="X1831">
        <v>0.87</v>
      </c>
      <c r="Y1831">
        <v>1.26</v>
      </c>
      <c r="Z1831">
        <v>0.16</v>
      </c>
      <c r="AA1831">
        <v>3.33</v>
      </c>
      <c r="AB1831">
        <v>1.32</v>
      </c>
      <c r="AC1831">
        <v>3.36</v>
      </c>
      <c r="AD1831">
        <v>2.64</v>
      </c>
      <c r="AE1831">
        <v>10.15</v>
      </c>
      <c r="AF1831">
        <v>3.4933333333333341</v>
      </c>
      <c r="AG1831" t="str">
        <f>HYPERLINK("https://finance.naver.com/item/fchart.naver?code=084670", "동양고속 차트보기")</f>
        <v>동양고속 차트보기</v>
      </c>
    </row>
    <row r="1832" spans="1:33" x14ac:dyDescent="0.3">
      <c r="A1832" t="s">
        <v>7355</v>
      </c>
      <c r="B1832" t="s">
        <v>34</v>
      </c>
      <c r="C1832" t="s">
        <v>7356</v>
      </c>
      <c r="D1832">
        <v>45967.81</v>
      </c>
      <c r="E1832" t="s">
        <v>7357</v>
      </c>
      <c r="F1832">
        <v>10.65</v>
      </c>
      <c r="G1832">
        <v>0.1800000071525574</v>
      </c>
      <c r="H1832">
        <v>5794</v>
      </c>
      <c r="I1832">
        <v>6.1599998474121094</v>
      </c>
      <c r="J1832" t="s">
        <v>7358</v>
      </c>
      <c r="K1832">
        <v>69200</v>
      </c>
      <c r="L1832">
        <v>61700</v>
      </c>
      <c r="M1832">
        <v>-10.84</v>
      </c>
      <c r="N1832">
        <v>-5.22</v>
      </c>
      <c r="O1832">
        <v>7.67</v>
      </c>
      <c r="P1832">
        <v>-0.65</v>
      </c>
      <c r="Q1832">
        <v>-2.04</v>
      </c>
      <c r="R1832">
        <v>-3.29</v>
      </c>
      <c r="S1832">
        <v>-3.93</v>
      </c>
      <c r="T1832">
        <v>0.77</v>
      </c>
      <c r="U1832">
        <v>1.0900000000000001</v>
      </c>
      <c r="V1832">
        <v>1.89</v>
      </c>
      <c r="W1832">
        <v>2.44</v>
      </c>
      <c r="X1832">
        <v>1.29</v>
      </c>
      <c r="Y1832">
        <v>1.1499999999999999</v>
      </c>
      <c r="Z1832">
        <v>6.78</v>
      </c>
      <c r="AA1832">
        <v>7.04</v>
      </c>
      <c r="AB1832">
        <v>0.34</v>
      </c>
      <c r="AC1832">
        <v>0.84</v>
      </c>
      <c r="AD1832">
        <v>2.5499999999999998</v>
      </c>
      <c r="AE1832">
        <v>3.42</v>
      </c>
      <c r="AF1832">
        <v>3.4950000000000001</v>
      </c>
      <c r="AG1832" t="str">
        <f>HYPERLINK("https://finance.naver.com/item/fchart.naver?code=023530", "롯데쇼핑 차트보기")</f>
        <v>롯데쇼핑 차트보기</v>
      </c>
    </row>
    <row r="1833" spans="1:33" x14ac:dyDescent="0.3">
      <c r="A1833" t="s">
        <v>7359</v>
      </c>
      <c r="B1833" t="s">
        <v>55</v>
      </c>
      <c r="C1833" t="s">
        <v>7360</v>
      </c>
      <c r="D1833">
        <v>19091.57</v>
      </c>
      <c r="E1833" t="s">
        <v>7361</v>
      </c>
      <c r="F1833">
        <v>9.1199999999999992</v>
      </c>
      <c r="G1833">
        <v>1.3400000333786011</v>
      </c>
      <c r="H1833">
        <v>1955</v>
      </c>
      <c r="I1833">
        <v>2.809999942779541</v>
      </c>
      <c r="J1833" t="s">
        <v>7362</v>
      </c>
      <c r="K1833">
        <v>31500</v>
      </c>
      <c r="L1833">
        <v>17820</v>
      </c>
      <c r="M1833">
        <v>-43.43</v>
      </c>
      <c r="N1833">
        <v>-5.1100000000000003</v>
      </c>
      <c r="O1833">
        <v>-12.33</v>
      </c>
      <c r="P1833">
        <v>3.77</v>
      </c>
      <c r="Q1833">
        <v>-1.83</v>
      </c>
      <c r="R1833">
        <v>-16.11</v>
      </c>
      <c r="S1833">
        <v>-8.75</v>
      </c>
      <c r="T1833">
        <v>4.46</v>
      </c>
      <c r="U1833">
        <v>2.38</v>
      </c>
      <c r="V1833">
        <v>2.97</v>
      </c>
      <c r="W1833">
        <v>4.4800000000000004</v>
      </c>
      <c r="X1833">
        <v>2.02</v>
      </c>
      <c r="Y1833">
        <v>1.75</v>
      </c>
      <c r="Z1833">
        <v>1.1499999999999999</v>
      </c>
      <c r="AA1833">
        <v>5.18</v>
      </c>
      <c r="AB1833">
        <v>1.27</v>
      </c>
      <c r="AC1833">
        <v>0.41</v>
      </c>
      <c r="AD1833">
        <v>7.98</v>
      </c>
      <c r="AE1833">
        <v>5</v>
      </c>
      <c r="AF1833">
        <v>3.498333333333334</v>
      </c>
      <c r="AG1833" t="str">
        <f>HYPERLINK("https://finance.naver.com/item/fchart.naver?code=448280", "에코아이 차트보기")</f>
        <v>에코아이 차트보기</v>
      </c>
    </row>
    <row r="1834" spans="1:33" x14ac:dyDescent="0.3">
      <c r="A1834" t="s">
        <v>7363</v>
      </c>
      <c r="B1834" t="s">
        <v>34</v>
      </c>
      <c r="C1834" t="s">
        <v>7364</v>
      </c>
      <c r="D1834">
        <v>68968.52</v>
      </c>
      <c r="E1834" t="s">
        <v>7365</v>
      </c>
      <c r="F1834">
        <v>0</v>
      </c>
      <c r="G1834">
        <v>0.64999997615814209</v>
      </c>
      <c r="H1834">
        <v>0</v>
      </c>
      <c r="I1834">
        <v>1.110000014305115</v>
      </c>
      <c r="J1834" t="s">
        <v>7366</v>
      </c>
      <c r="K1834">
        <v>2150</v>
      </c>
      <c r="L1834">
        <v>3420</v>
      </c>
      <c r="M1834">
        <v>59.07</v>
      </c>
      <c r="N1834">
        <v>7.38</v>
      </c>
      <c r="O1834">
        <v>-2.87</v>
      </c>
      <c r="P1834">
        <v>8.42</v>
      </c>
      <c r="Q1834">
        <v>12.96</v>
      </c>
      <c r="R1834">
        <v>-4.6399999999999997</v>
      </c>
      <c r="S1834">
        <v>15.94</v>
      </c>
      <c r="T1834">
        <v>1.63</v>
      </c>
      <c r="U1834">
        <v>3.1</v>
      </c>
      <c r="V1834">
        <v>2.76</v>
      </c>
      <c r="W1834">
        <v>3.69</v>
      </c>
      <c r="X1834">
        <v>1.66</v>
      </c>
      <c r="Y1834">
        <v>2.58</v>
      </c>
      <c r="Z1834">
        <v>4.53</v>
      </c>
      <c r="AA1834">
        <v>0.93</v>
      </c>
      <c r="AB1834">
        <v>3.05</v>
      </c>
      <c r="AC1834">
        <v>3.51</v>
      </c>
      <c r="AD1834">
        <v>2.8</v>
      </c>
      <c r="AE1834">
        <v>6.18</v>
      </c>
      <c r="AF1834">
        <v>3.5</v>
      </c>
      <c r="AG1834" t="str">
        <f>HYPERLINK("https://finance.naver.com/item/fchart.naver?code=003610", "방림 차트보기")</f>
        <v>방림 차트보기</v>
      </c>
    </row>
    <row r="1835" spans="1:33" x14ac:dyDescent="0.3">
      <c r="A1835" t="s">
        <v>7367</v>
      </c>
      <c r="B1835" t="s">
        <v>55</v>
      </c>
      <c r="C1835" t="s">
        <v>7368</v>
      </c>
      <c r="D1835">
        <v>110586.9</v>
      </c>
      <c r="E1835" t="s">
        <v>7369</v>
      </c>
      <c r="F1835">
        <v>0</v>
      </c>
      <c r="G1835">
        <v>2.1400001049041748</v>
      </c>
      <c r="H1835">
        <v>0</v>
      </c>
      <c r="I1835">
        <v>0</v>
      </c>
      <c r="J1835" t="s">
        <v>7370</v>
      </c>
      <c r="K1835">
        <v>9320</v>
      </c>
      <c r="L1835">
        <v>8150</v>
      </c>
      <c r="M1835">
        <v>-12.55</v>
      </c>
      <c r="N1835">
        <v>8.81</v>
      </c>
      <c r="O1835">
        <v>-2.2000000000000002</v>
      </c>
      <c r="P1835">
        <v>-5.1100000000000003</v>
      </c>
      <c r="Q1835">
        <v>-14.01</v>
      </c>
      <c r="R1835">
        <v>1.06</v>
      </c>
      <c r="S1835">
        <v>-19.2</v>
      </c>
      <c r="T1835">
        <v>2.5499999999999998</v>
      </c>
      <c r="U1835">
        <v>1.98</v>
      </c>
      <c r="V1835">
        <v>1.54</v>
      </c>
      <c r="W1835">
        <v>5.74</v>
      </c>
      <c r="X1835">
        <v>1.86</v>
      </c>
      <c r="Y1835">
        <v>1.9</v>
      </c>
      <c r="Z1835">
        <v>3.45</v>
      </c>
      <c r="AA1835">
        <v>1.1100000000000001</v>
      </c>
      <c r="AB1835">
        <v>3.32</v>
      </c>
      <c r="AC1835">
        <v>2.44</v>
      </c>
      <c r="AD1835">
        <v>0.56999999999999995</v>
      </c>
      <c r="AE1835">
        <v>10.11</v>
      </c>
      <c r="AF1835">
        <v>3.5</v>
      </c>
      <c r="AG1835" t="str">
        <f>HYPERLINK("https://finance.naver.com/item/fchart.naver?code=413640", "비아이매트릭스 차트보기")</f>
        <v>비아이매트릭스 차트보기</v>
      </c>
    </row>
    <row r="1836" spans="1:33" x14ac:dyDescent="0.3">
      <c r="A1836" t="s">
        <v>7371</v>
      </c>
      <c r="B1836" t="s">
        <v>55</v>
      </c>
      <c r="C1836" t="s">
        <v>7372</v>
      </c>
      <c r="D1836">
        <v>5077681.33</v>
      </c>
      <c r="E1836" t="s">
        <v>7373</v>
      </c>
      <c r="F1836">
        <v>0</v>
      </c>
      <c r="G1836">
        <v>0.2099999934434891</v>
      </c>
      <c r="H1836">
        <v>0</v>
      </c>
      <c r="I1836">
        <v>0</v>
      </c>
      <c r="J1836" t="s">
        <v>7374</v>
      </c>
      <c r="K1836">
        <v>3610</v>
      </c>
      <c r="L1836">
        <v>2795</v>
      </c>
      <c r="M1836">
        <v>-22.58</v>
      </c>
      <c r="N1836">
        <v>-3.45</v>
      </c>
      <c r="O1836">
        <v>-9.9</v>
      </c>
      <c r="P1836">
        <v>-8.58</v>
      </c>
      <c r="Q1836">
        <v>-13.2</v>
      </c>
      <c r="R1836">
        <v>-5.59</v>
      </c>
      <c r="S1836">
        <v>-4.08</v>
      </c>
      <c r="T1836">
        <v>13.08</v>
      </c>
      <c r="U1836">
        <v>1.64</v>
      </c>
      <c r="V1836">
        <v>2.58</v>
      </c>
      <c r="W1836">
        <v>3.34</v>
      </c>
      <c r="X1836">
        <v>1.2</v>
      </c>
      <c r="Y1836">
        <v>1.46</v>
      </c>
      <c r="Z1836">
        <v>0.26</v>
      </c>
      <c r="AA1836">
        <v>6.04</v>
      </c>
      <c r="AB1836">
        <v>3.33</v>
      </c>
      <c r="AC1836">
        <v>3.95</v>
      </c>
      <c r="AD1836">
        <v>4.66</v>
      </c>
      <c r="AE1836">
        <v>2.79</v>
      </c>
      <c r="AF1836">
        <v>3.504999999999999</v>
      </c>
      <c r="AG1836" t="str">
        <f>HYPERLINK("https://finance.naver.com/item/fchart.naver?code=030530", "원익홀딩스 차트보기")</f>
        <v>원익홀딩스 차트보기</v>
      </c>
    </row>
    <row r="1837" spans="1:33" x14ac:dyDescent="0.3">
      <c r="A1837" t="s">
        <v>7375</v>
      </c>
      <c r="B1837" t="s">
        <v>34</v>
      </c>
      <c r="C1837" t="s">
        <v>7376</v>
      </c>
      <c r="D1837">
        <v>21270.9</v>
      </c>
      <c r="E1837" t="s">
        <v>7377</v>
      </c>
      <c r="F1837">
        <v>4.0599999999999996</v>
      </c>
      <c r="G1837">
        <v>0.31999999284744263</v>
      </c>
      <c r="H1837">
        <v>2316</v>
      </c>
      <c r="I1837">
        <v>3.720000028610229</v>
      </c>
      <c r="J1837" t="s">
        <v>7378</v>
      </c>
      <c r="K1837">
        <v>11100</v>
      </c>
      <c r="L1837">
        <v>9400</v>
      </c>
      <c r="M1837">
        <v>-15.32</v>
      </c>
      <c r="N1837">
        <v>-4.18</v>
      </c>
      <c r="O1837">
        <v>2.97</v>
      </c>
      <c r="P1837">
        <v>4.22</v>
      </c>
      <c r="Q1837">
        <v>-5.3</v>
      </c>
      <c r="R1837">
        <v>-5.77</v>
      </c>
      <c r="S1837">
        <v>-4.78</v>
      </c>
      <c r="T1837">
        <v>1.41</v>
      </c>
      <c r="U1837">
        <v>1.42</v>
      </c>
      <c r="V1837">
        <v>1.95</v>
      </c>
      <c r="W1837">
        <v>2.5299999999999998</v>
      </c>
      <c r="X1837">
        <v>0.99</v>
      </c>
      <c r="Y1837">
        <v>0.81</v>
      </c>
      <c r="Z1837">
        <v>2.96</v>
      </c>
      <c r="AA1837">
        <v>2.09</v>
      </c>
      <c r="AB1837">
        <v>2.16</v>
      </c>
      <c r="AC1837">
        <v>2.09</v>
      </c>
      <c r="AD1837">
        <v>5.83</v>
      </c>
      <c r="AE1837">
        <v>5.9</v>
      </c>
      <c r="AF1837">
        <v>3.5049999999999999</v>
      </c>
      <c r="AG1837" t="str">
        <f>HYPERLINK("https://finance.naver.com/item/fchart.naver?code=035510", "신세계 I&amp;C 차트보기")</f>
        <v>신세계 I&amp;C 차트보기</v>
      </c>
    </row>
    <row r="1838" spans="1:33" x14ac:dyDescent="0.3">
      <c r="A1838" t="s">
        <v>7379</v>
      </c>
      <c r="B1838" t="s">
        <v>55</v>
      </c>
      <c r="C1838" t="s">
        <v>7380</v>
      </c>
      <c r="D1838">
        <v>117557.14</v>
      </c>
      <c r="E1838" t="s">
        <v>7381</v>
      </c>
      <c r="F1838">
        <v>9.1999999999999993</v>
      </c>
      <c r="G1838">
        <v>0.67000001668930054</v>
      </c>
      <c r="H1838">
        <v>373</v>
      </c>
      <c r="I1838">
        <v>0</v>
      </c>
      <c r="J1838" t="s">
        <v>7382</v>
      </c>
      <c r="K1838">
        <v>3805</v>
      </c>
      <c r="L1838">
        <v>3430</v>
      </c>
      <c r="M1838">
        <v>-9.86</v>
      </c>
      <c r="N1838">
        <v>-5.9</v>
      </c>
      <c r="O1838">
        <v>-5.84</v>
      </c>
      <c r="P1838">
        <v>-7.83</v>
      </c>
      <c r="Q1838">
        <v>-9.52</v>
      </c>
      <c r="R1838">
        <v>49.49</v>
      </c>
      <c r="S1838">
        <v>-5.08</v>
      </c>
      <c r="T1838">
        <v>1.61</v>
      </c>
      <c r="U1838">
        <v>2</v>
      </c>
      <c r="V1838">
        <v>2.71</v>
      </c>
      <c r="W1838">
        <v>3.86</v>
      </c>
      <c r="X1838">
        <v>7.41</v>
      </c>
      <c r="Y1838">
        <v>2.1</v>
      </c>
      <c r="Z1838">
        <v>3.66</v>
      </c>
      <c r="AA1838">
        <v>2.92</v>
      </c>
      <c r="AB1838">
        <v>2.89</v>
      </c>
      <c r="AC1838">
        <v>2.4700000000000002</v>
      </c>
      <c r="AD1838">
        <v>6.68</v>
      </c>
      <c r="AE1838">
        <v>2.42</v>
      </c>
      <c r="AF1838">
        <v>3.5066666666666659</v>
      </c>
      <c r="AG1838" t="str">
        <f>HYPERLINK("https://finance.naver.com/item/fchart.naver?code=241690", "유니테크노 차트보기")</f>
        <v>유니테크노 차트보기</v>
      </c>
    </row>
    <row r="1839" spans="1:33" x14ac:dyDescent="0.3">
      <c r="A1839" t="s">
        <v>7383</v>
      </c>
      <c r="B1839" t="s">
        <v>55</v>
      </c>
      <c r="C1839" t="s">
        <v>7384</v>
      </c>
      <c r="D1839">
        <v>73083.14</v>
      </c>
      <c r="E1839" t="s">
        <v>7385</v>
      </c>
      <c r="F1839">
        <v>13.55</v>
      </c>
      <c r="G1839">
        <v>0.76999998092651367</v>
      </c>
      <c r="H1839">
        <v>286</v>
      </c>
      <c r="I1839">
        <v>5.1599998474121094</v>
      </c>
      <c r="J1839" t="s">
        <v>7386</v>
      </c>
      <c r="K1839">
        <v>5550</v>
      </c>
      <c r="L1839">
        <v>3875</v>
      </c>
      <c r="M1839">
        <v>-30.18</v>
      </c>
      <c r="N1839">
        <v>0.52</v>
      </c>
      <c r="O1839">
        <v>-4.2</v>
      </c>
      <c r="P1839">
        <v>1.99</v>
      </c>
      <c r="Q1839">
        <v>-13.62</v>
      </c>
      <c r="R1839">
        <v>7.48</v>
      </c>
      <c r="S1839">
        <v>-11.06</v>
      </c>
      <c r="T1839">
        <v>0.59</v>
      </c>
      <c r="U1839">
        <v>1.3</v>
      </c>
      <c r="V1839">
        <v>1.79</v>
      </c>
      <c r="W1839">
        <v>4.16</v>
      </c>
      <c r="X1839">
        <v>1.63</v>
      </c>
      <c r="Y1839">
        <v>1.39</v>
      </c>
      <c r="Z1839">
        <v>0.88</v>
      </c>
      <c r="AA1839">
        <v>3.23</v>
      </c>
      <c r="AB1839">
        <v>1.1100000000000001</v>
      </c>
      <c r="AC1839">
        <v>3.27</v>
      </c>
      <c r="AD1839">
        <v>4.59</v>
      </c>
      <c r="AE1839">
        <v>7.96</v>
      </c>
      <c r="AF1839">
        <v>3.5066666666666659</v>
      </c>
      <c r="AG1839" t="str">
        <f>HYPERLINK("https://finance.naver.com/item/fchart.naver?code=309960", "LB인베스트먼트 차트보기")</f>
        <v>LB인베스트먼트 차트보기</v>
      </c>
    </row>
    <row r="1840" spans="1:33" x14ac:dyDescent="0.3">
      <c r="A1840" t="s">
        <v>7387</v>
      </c>
      <c r="B1840" t="s">
        <v>55</v>
      </c>
      <c r="C1840" t="s">
        <v>7388</v>
      </c>
      <c r="D1840">
        <v>66422.19</v>
      </c>
      <c r="E1840" t="s">
        <v>7389</v>
      </c>
      <c r="F1840">
        <v>0</v>
      </c>
      <c r="G1840">
        <v>2.869999885559082</v>
      </c>
      <c r="H1840">
        <v>0</v>
      </c>
      <c r="I1840">
        <v>0</v>
      </c>
      <c r="J1840" t="s">
        <v>7390</v>
      </c>
      <c r="K1840">
        <v>11830</v>
      </c>
      <c r="L1840">
        <v>6900</v>
      </c>
      <c r="M1840">
        <v>-41.67</v>
      </c>
      <c r="N1840">
        <v>-15.23</v>
      </c>
      <c r="O1840">
        <v>11.31</v>
      </c>
      <c r="P1840">
        <v>-6.59</v>
      </c>
      <c r="Q1840">
        <v>-18.079999999999998</v>
      </c>
      <c r="R1840">
        <v>5.68</v>
      </c>
      <c r="S1840">
        <v>-15.2</v>
      </c>
      <c r="T1840">
        <v>4.3099999999999996</v>
      </c>
      <c r="U1840">
        <v>3.5</v>
      </c>
      <c r="V1840">
        <v>2.2999999999999998</v>
      </c>
      <c r="W1840">
        <v>4.04</v>
      </c>
      <c r="X1840">
        <v>4.87</v>
      </c>
      <c r="Y1840">
        <v>2.64</v>
      </c>
      <c r="Z1840">
        <v>3.53</v>
      </c>
      <c r="AA1840">
        <v>3.23</v>
      </c>
      <c r="AB1840">
        <v>2.87</v>
      </c>
      <c r="AC1840">
        <v>4.4800000000000004</v>
      </c>
      <c r="AD1840">
        <v>1.17</v>
      </c>
      <c r="AE1840">
        <v>5.76</v>
      </c>
      <c r="AF1840">
        <v>3.5066666666666659</v>
      </c>
      <c r="AG1840" t="str">
        <f>HYPERLINK("https://finance.naver.com/item/fchart.naver?code=217330", "싸이토젠 차트보기")</f>
        <v>싸이토젠 차트보기</v>
      </c>
    </row>
    <row r="1841" spans="1:33" x14ac:dyDescent="0.3">
      <c r="A1841" t="s">
        <v>7391</v>
      </c>
      <c r="B1841" t="s">
        <v>34</v>
      </c>
      <c r="C1841" t="s">
        <v>7392</v>
      </c>
      <c r="D1841">
        <v>26319.05</v>
      </c>
      <c r="E1841" t="s">
        <v>7393</v>
      </c>
      <c r="F1841">
        <v>28.52</v>
      </c>
      <c r="G1841">
        <v>0.2800000011920929</v>
      </c>
      <c r="H1841">
        <v>149</v>
      </c>
      <c r="I1841">
        <v>3.529999971389771</v>
      </c>
      <c r="J1841" t="s">
        <v>7394</v>
      </c>
      <c r="K1841">
        <v>5870</v>
      </c>
      <c r="L1841">
        <v>4250</v>
      </c>
      <c r="M1841">
        <v>-27.6</v>
      </c>
      <c r="N1841">
        <v>-4.28</v>
      </c>
      <c r="O1841">
        <v>-6.3</v>
      </c>
      <c r="P1841">
        <v>-3.39</v>
      </c>
      <c r="Q1841">
        <v>-1.55</v>
      </c>
      <c r="R1841">
        <v>-7.58</v>
      </c>
      <c r="S1841">
        <v>-3.78</v>
      </c>
      <c r="T1841">
        <v>1.28</v>
      </c>
      <c r="U1841">
        <v>1.03</v>
      </c>
      <c r="V1841">
        <v>1.83</v>
      </c>
      <c r="W1841">
        <v>3.96</v>
      </c>
      <c r="X1841">
        <v>1.1499999999999999</v>
      </c>
      <c r="Y1841">
        <v>1.37</v>
      </c>
      <c r="Z1841">
        <v>3.34</v>
      </c>
      <c r="AA1841">
        <v>6.12</v>
      </c>
      <c r="AB1841">
        <v>1.85</v>
      </c>
      <c r="AC1841">
        <v>0.39</v>
      </c>
      <c r="AD1841">
        <v>6.59</v>
      </c>
      <c r="AE1841">
        <v>2.76</v>
      </c>
      <c r="AF1841">
        <v>3.5083333333333329</v>
      </c>
      <c r="AG1841" t="str">
        <f>HYPERLINK("https://finance.naver.com/item/fchart.naver?code=033530", "SJG세종 차트보기")</f>
        <v>SJG세종 차트보기</v>
      </c>
    </row>
    <row r="1842" spans="1:33" x14ac:dyDescent="0.3">
      <c r="A1842" t="s">
        <v>7395</v>
      </c>
      <c r="B1842" t="s">
        <v>55</v>
      </c>
      <c r="C1842" t="s">
        <v>7396</v>
      </c>
      <c r="D1842">
        <v>219249.81</v>
      </c>
      <c r="E1842" t="s">
        <v>7397</v>
      </c>
      <c r="F1842">
        <v>0</v>
      </c>
      <c r="G1842">
        <v>0.50999999046325684</v>
      </c>
      <c r="H1842">
        <v>0</v>
      </c>
      <c r="I1842">
        <v>0</v>
      </c>
      <c r="J1842" t="s">
        <v>7398</v>
      </c>
      <c r="K1842">
        <v>1549</v>
      </c>
      <c r="L1842">
        <v>604</v>
      </c>
      <c r="M1842">
        <v>-61.01</v>
      </c>
      <c r="N1842">
        <v>-4.13</v>
      </c>
      <c r="O1842">
        <v>-4.74</v>
      </c>
      <c r="P1842">
        <v>-35.880000000000003</v>
      </c>
      <c r="Q1842">
        <v>-15.56</v>
      </c>
      <c r="R1842">
        <v>-14.74</v>
      </c>
      <c r="S1842">
        <v>-29.95</v>
      </c>
      <c r="T1842">
        <v>4.51</v>
      </c>
      <c r="U1842">
        <v>3.82</v>
      </c>
      <c r="V1842">
        <v>8.01</v>
      </c>
      <c r="W1842">
        <v>4.9400000000000004</v>
      </c>
      <c r="X1842">
        <v>4.84</v>
      </c>
      <c r="Y1842">
        <v>3.65</v>
      </c>
      <c r="Z1842">
        <v>0.92</v>
      </c>
      <c r="AA1842">
        <v>1.24</v>
      </c>
      <c r="AB1842">
        <v>4.4800000000000004</v>
      </c>
      <c r="AC1842">
        <v>3.15</v>
      </c>
      <c r="AD1842">
        <v>3.05</v>
      </c>
      <c r="AE1842">
        <v>8.2100000000000009</v>
      </c>
      <c r="AF1842">
        <v>3.5083333333333329</v>
      </c>
      <c r="AG1842" t="str">
        <f>HYPERLINK("https://finance.naver.com/item/fchart.naver?code=352770", "클리노믹스 차트보기")</f>
        <v>클리노믹스 차트보기</v>
      </c>
    </row>
    <row r="1843" spans="1:33" x14ac:dyDescent="0.3">
      <c r="A1843" t="s">
        <v>7399</v>
      </c>
      <c r="B1843" t="s">
        <v>34</v>
      </c>
      <c r="C1843" t="s">
        <v>7400</v>
      </c>
      <c r="D1843">
        <v>124203</v>
      </c>
      <c r="E1843" t="s">
        <v>7401</v>
      </c>
      <c r="F1843">
        <v>0</v>
      </c>
      <c r="G1843">
        <v>3.2100000381469731</v>
      </c>
      <c r="H1843">
        <v>0</v>
      </c>
      <c r="I1843">
        <v>0</v>
      </c>
      <c r="J1843" t="s">
        <v>7402</v>
      </c>
      <c r="K1843">
        <v>5940</v>
      </c>
      <c r="L1843">
        <v>3740</v>
      </c>
      <c r="M1843">
        <v>-37.04</v>
      </c>
      <c r="N1843">
        <v>-5.67</v>
      </c>
      <c r="O1843">
        <v>-18.510000000000002</v>
      </c>
      <c r="P1843">
        <v>-6.45</v>
      </c>
      <c r="Q1843">
        <v>-3.93</v>
      </c>
      <c r="R1843">
        <v>28.44</v>
      </c>
      <c r="S1843">
        <v>-7.67</v>
      </c>
      <c r="T1843">
        <v>1.75</v>
      </c>
      <c r="U1843">
        <v>2.7</v>
      </c>
      <c r="V1843">
        <v>2.57</v>
      </c>
      <c r="W1843">
        <v>3.04</v>
      </c>
      <c r="X1843">
        <v>8.2200000000000006</v>
      </c>
      <c r="Y1843">
        <v>2.08</v>
      </c>
      <c r="Z1843">
        <v>3.24</v>
      </c>
      <c r="AA1843">
        <v>6.86</v>
      </c>
      <c r="AB1843">
        <v>2.5099999999999998</v>
      </c>
      <c r="AC1843">
        <v>1.29</v>
      </c>
      <c r="AD1843">
        <v>3.46</v>
      </c>
      <c r="AE1843">
        <v>3.69</v>
      </c>
      <c r="AF1843">
        <v>3.5083333333333342</v>
      </c>
      <c r="AG1843" t="str">
        <f>HYPERLINK("https://finance.naver.com/item/fchart.naver?code=003580", "HLB글로벌 차트보기")</f>
        <v>HLB글로벌 차트보기</v>
      </c>
    </row>
    <row r="1844" spans="1:33" x14ac:dyDescent="0.3">
      <c r="A1844" t="s">
        <v>7403</v>
      </c>
      <c r="B1844" t="s">
        <v>55</v>
      </c>
      <c r="C1844" t="s">
        <v>7404</v>
      </c>
      <c r="D1844">
        <v>95974.48</v>
      </c>
      <c r="E1844" t="s">
        <v>7405</v>
      </c>
      <c r="F1844">
        <v>32.46</v>
      </c>
      <c r="G1844">
        <v>1.129999995231628</v>
      </c>
      <c r="H1844">
        <v>248</v>
      </c>
      <c r="I1844">
        <v>0</v>
      </c>
      <c r="J1844" t="s">
        <v>7406</v>
      </c>
      <c r="K1844">
        <v>10390</v>
      </c>
      <c r="L1844">
        <v>8050</v>
      </c>
      <c r="M1844">
        <v>-22.52</v>
      </c>
      <c r="N1844">
        <v>0.88</v>
      </c>
      <c r="O1844">
        <v>-16.5</v>
      </c>
      <c r="P1844">
        <v>-16.54</v>
      </c>
      <c r="Q1844">
        <v>9.85</v>
      </c>
      <c r="R1844">
        <v>7.76</v>
      </c>
      <c r="S1844">
        <v>-4.46</v>
      </c>
      <c r="T1844">
        <v>2.65</v>
      </c>
      <c r="U1844">
        <v>2.77</v>
      </c>
      <c r="V1844">
        <v>1.96</v>
      </c>
      <c r="W1844">
        <v>3.45</v>
      </c>
      <c r="X1844">
        <v>4.03</v>
      </c>
      <c r="Y1844">
        <v>2.9</v>
      </c>
      <c r="Z1844">
        <v>0.33</v>
      </c>
      <c r="AA1844">
        <v>5.96</v>
      </c>
      <c r="AB1844">
        <v>8.44</v>
      </c>
      <c r="AC1844">
        <v>2.86</v>
      </c>
      <c r="AD1844">
        <v>1.93</v>
      </c>
      <c r="AE1844">
        <v>1.54</v>
      </c>
      <c r="AF1844">
        <v>3.51</v>
      </c>
      <c r="AG1844" t="str">
        <f>HYPERLINK("https://finance.naver.com/item/fchart.naver?code=290550", "디케이티 차트보기")</f>
        <v>디케이티 차트보기</v>
      </c>
    </row>
    <row r="1845" spans="1:33" x14ac:dyDescent="0.3">
      <c r="A1845" t="s">
        <v>7407</v>
      </c>
      <c r="B1845" t="s">
        <v>55</v>
      </c>
      <c r="C1845" t="s">
        <v>7408</v>
      </c>
      <c r="D1845">
        <v>238687.67</v>
      </c>
      <c r="E1845" t="s">
        <v>7409</v>
      </c>
      <c r="F1845">
        <v>0</v>
      </c>
      <c r="G1845">
        <v>2.369999885559082</v>
      </c>
      <c r="H1845">
        <v>0</v>
      </c>
      <c r="I1845">
        <v>0</v>
      </c>
      <c r="J1845" t="s">
        <v>7410</v>
      </c>
      <c r="K1845">
        <v>27900</v>
      </c>
      <c r="L1845">
        <v>14180</v>
      </c>
      <c r="M1845">
        <v>-49.18</v>
      </c>
      <c r="N1845">
        <v>-7.62</v>
      </c>
      <c r="O1845">
        <v>-13.91</v>
      </c>
      <c r="P1845">
        <v>24.14</v>
      </c>
      <c r="Q1845">
        <v>-18.36</v>
      </c>
      <c r="R1845">
        <v>-22.98</v>
      </c>
      <c r="S1845">
        <v>-5.26</v>
      </c>
      <c r="T1845">
        <v>3.29</v>
      </c>
      <c r="U1845">
        <v>3.4</v>
      </c>
      <c r="V1845">
        <v>6.93</v>
      </c>
      <c r="W1845">
        <v>5.0599999999999996</v>
      </c>
      <c r="X1845">
        <v>3.68</v>
      </c>
      <c r="Y1845">
        <v>4.01</v>
      </c>
      <c r="Z1845">
        <v>2.3199999999999998</v>
      </c>
      <c r="AA1845">
        <v>4.09</v>
      </c>
      <c r="AB1845">
        <v>3.48</v>
      </c>
      <c r="AC1845">
        <v>3.63</v>
      </c>
      <c r="AD1845">
        <v>6.24</v>
      </c>
      <c r="AE1845">
        <v>1.31</v>
      </c>
      <c r="AF1845">
        <v>3.5116666666666658</v>
      </c>
      <c r="AG1845" t="str">
        <f>HYPERLINK("https://finance.naver.com/item/fchart.naver?code=112290", "와이씨켐 차트보기")</f>
        <v>와이씨켐 차트보기</v>
      </c>
    </row>
    <row r="1846" spans="1:33" x14ac:dyDescent="0.3">
      <c r="A1846" t="s">
        <v>7411</v>
      </c>
      <c r="B1846" t="s">
        <v>34</v>
      </c>
      <c r="C1846" t="s">
        <v>7412</v>
      </c>
      <c r="D1846">
        <v>94899.71</v>
      </c>
      <c r="E1846" t="s">
        <v>7413</v>
      </c>
      <c r="F1846">
        <v>4.46</v>
      </c>
      <c r="G1846">
        <v>0.40999999642372131</v>
      </c>
      <c r="H1846">
        <v>1857</v>
      </c>
      <c r="I1846">
        <v>5.8400001525878906</v>
      </c>
      <c r="J1846" t="s">
        <v>7414</v>
      </c>
      <c r="K1846">
        <v>7990</v>
      </c>
      <c r="L1846">
        <v>8290</v>
      </c>
      <c r="M1846">
        <v>3.75</v>
      </c>
      <c r="N1846">
        <v>2.73</v>
      </c>
      <c r="O1846">
        <v>2.14</v>
      </c>
      <c r="P1846">
        <v>4.03</v>
      </c>
      <c r="Q1846">
        <v>-9.42</v>
      </c>
      <c r="R1846">
        <v>1.81</v>
      </c>
      <c r="S1846">
        <v>3.06</v>
      </c>
      <c r="T1846">
        <v>0.53</v>
      </c>
      <c r="U1846">
        <v>1.69</v>
      </c>
      <c r="V1846">
        <v>1.34</v>
      </c>
      <c r="W1846">
        <v>1.6</v>
      </c>
      <c r="X1846">
        <v>0.89</v>
      </c>
      <c r="Y1846">
        <v>0.82</v>
      </c>
      <c r="Z1846">
        <v>5.15</v>
      </c>
      <c r="AA1846">
        <v>1.27</v>
      </c>
      <c r="AB1846">
        <v>3.01</v>
      </c>
      <c r="AC1846">
        <v>5.89</v>
      </c>
      <c r="AD1846">
        <v>2.0299999999999998</v>
      </c>
      <c r="AE1846">
        <v>3.73</v>
      </c>
      <c r="AF1846">
        <v>3.5133333333333341</v>
      </c>
      <c r="AG1846" t="str">
        <f>HYPERLINK("https://finance.naver.com/item/fchart.naver?code=002310", "아세아제지 차트보기")</f>
        <v>아세아제지 차트보기</v>
      </c>
    </row>
    <row r="1847" spans="1:33" x14ac:dyDescent="0.3">
      <c r="A1847" t="s">
        <v>7415</v>
      </c>
      <c r="B1847" t="s">
        <v>55</v>
      </c>
      <c r="C1847" t="s">
        <v>7416</v>
      </c>
      <c r="D1847">
        <v>23304.81</v>
      </c>
      <c r="E1847" t="s">
        <v>7417</v>
      </c>
      <c r="F1847">
        <v>39.200000000000003</v>
      </c>
      <c r="G1847">
        <v>1.049999952316284</v>
      </c>
      <c r="H1847">
        <v>449</v>
      </c>
      <c r="I1847">
        <v>0.56999999284744263</v>
      </c>
      <c r="J1847" t="s">
        <v>7418</v>
      </c>
      <c r="K1847">
        <v>28300</v>
      </c>
      <c r="L1847">
        <v>17600</v>
      </c>
      <c r="M1847">
        <v>-37.81</v>
      </c>
      <c r="N1847">
        <v>-2.33</v>
      </c>
      <c r="O1847">
        <v>-10.050000000000001</v>
      </c>
      <c r="P1847">
        <v>7.53</v>
      </c>
      <c r="Q1847">
        <v>-7.98</v>
      </c>
      <c r="R1847">
        <v>-11.18</v>
      </c>
      <c r="S1847">
        <v>-13.72</v>
      </c>
      <c r="T1847">
        <v>3.17</v>
      </c>
      <c r="U1847">
        <v>3.04</v>
      </c>
      <c r="V1847">
        <v>2.76</v>
      </c>
      <c r="W1847">
        <v>3.66</v>
      </c>
      <c r="X1847">
        <v>2.02</v>
      </c>
      <c r="Y1847">
        <v>2.08</v>
      </c>
      <c r="Z1847">
        <v>0.74</v>
      </c>
      <c r="AA1847">
        <v>3.31</v>
      </c>
      <c r="AB1847">
        <v>2.73</v>
      </c>
      <c r="AC1847">
        <v>2.1800000000000002</v>
      </c>
      <c r="AD1847">
        <v>5.53</v>
      </c>
      <c r="AE1847">
        <v>6.6</v>
      </c>
      <c r="AF1847">
        <v>3.5149999999999988</v>
      </c>
      <c r="AG1847" t="str">
        <f>HYPERLINK("https://finance.naver.com/item/fchart.naver?code=049950", "미래컴퍼니 차트보기")</f>
        <v>미래컴퍼니 차트보기</v>
      </c>
    </row>
    <row r="1848" spans="1:33" x14ac:dyDescent="0.3">
      <c r="A1848" t="s">
        <v>7419</v>
      </c>
      <c r="B1848" t="s">
        <v>55</v>
      </c>
      <c r="C1848" t="s">
        <v>7420</v>
      </c>
      <c r="D1848">
        <v>738986.67</v>
      </c>
      <c r="E1848" t="s">
        <v>7421</v>
      </c>
      <c r="F1848">
        <v>0</v>
      </c>
      <c r="G1848">
        <v>7.6399998664855957</v>
      </c>
      <c r="H1848">
        <v>0</v>
      </c>
      <c r="I1848">
        <v>0</v>
      </c>
      <c r="J1848" t="s">
        <v>7422</v>
      </c>
      <c r="K1848">
        <v>2005</v>
      </c>
      <c r="L1848">
        <v>4375</v>
      </c>
      <c r="M1848">
        <v>118.2</v>
      </c>
      <c r="N1848">
        <v>27.37</v>
      </c>
      <c r="O1848">
        <v>21.42</v>
      </c>
      <c r="P1848">
        <v>-12.97</v>
      </c>
      <c r="Q1848">
        <v>18.100000000000001</v>
      </c>
      <c r="R1848">
        <v>44.99</v>
      </c>
      <c r="S1848">
        <v>4.5199999999999996</v>
      </c>
      <c r="T1848">
        <v>4.8099999999999996</v>
      </c>
      <c r="U1848">
        <v>7.22</v>
      </c>
      <c r="V1848">
        <v>4.0199999999999996</v>
      </c>
      <c r="W1848">
        <v>8.32</v>
      </c>
      <c r="X1848">
        <v>7.02</v>
      </c>
      <c r="Y1848">
        <v>7.46</v>
      </c>
      <c r="Z1848">
        <v>5.69</v>
      </c>
      <c r="AA1848">
        <v>2.97</v>
      </c>
      <c r="AB1848">
        <v>3.23</v>
      </c>
      <c r="AC1848">
        <v>2.1800000000000002</v>
      </c>
      <c r="AD1848">
        <v>6.41</v>
      </c>
      <c r="AE1848">
        <v>0.61</v>
      </c>
      <c r="AF1848">
        <v>3.5150000000000001</v>
      </c>
      <c r="AG1848" t="str">
        <f>HYPERLINK("https://finance.naver.com/item/fchart.naver?code=347700", "라이프시맨틱스 차트보기")</f>
        <v>라이프시맨틱스 차트보기</v>
      </c>
    </row>
    <row r="1849" spans="1:33" x14ac:dyDescent="0.3">
      <c r="A1849" t="s">
        <v>7423</v>
      </c>
      <c r="B1849" t="s">
        <v>55</v>
      </c>
      <c r="C1849" t="s">
        <v>7424</v>
      </c>
      <c r="D1849">
        <v>173635.19</v>
      </c>
      <c r="E1849" t="s">
        <v>7425</v>
      </c>
      <c r="F1849">
        <v>15.1</v>
      </c>
      <c r="G1849">
        <v>4.3899998664855957</v>
      </c>
      <c r="H1849">
        <v>1167</v>
      </c>
      <c r="I1849">
        <v>0.89999997615814209</v>
      </c>
      <c r="J1849" t="s">
        <v>7426</v>
      </c>
      <c r="K1849">
        <v>31600</v>
      </c>
      <c r="L1849">
        <v>17620</v>
      </c>
      <c r="M1849">
        <v>-44.24</v>
      </c>
      <c r="N1849">
        <v>-2.54</v>
      </c>
      <c r="O1849">
        <v>-18.79</v>
      </c>
      <c r="P1849">
        <v>10.41</v>
      </c>
      <c r="Q1849">
        <v>-31.13</v>
      </c>
      <c r="R1849">
        <v>-4.51</v>
      </c>
      <c r="S1849">
        <v>-17.899999999999999</v>
      </c>
      <c r="T1849">
        <v>4.34</v>
      </c>
      <c r="U1849">
        <v>3.14</v>
      </c>
      <c r="V1849">
        <v>4.26</v>
      </c>
      <c r="W1849">
        <v>4.9000000000000004</v>
      </c>
      <c r="X1849">
        <v>4.5599999999999996</v>
      </c>
      <c r="Y1849">
        <v>3.77</v>
      </c>
      <c r="Z1849">
        <v>0.59</v>
      </c>
      <c r="AA1849">
        <v>5.98</v>
      </c>
      <c r="AB1849">
        <v>2.44</v>
      </c>
      <c r="AC1849">
        <v>6.35</v>
      </c>
      <c r="AD1849">
        <v>0.99</v>
      </c>
      <c r="AE1849">
        <v>4.75</v>
      </c>
      <c r="AF1849">
        <v>3.5166666666666662</v>
      </c>
      <c r="AG1849" t="str">
        <f>HYPERLINK("https://finance.naver.com/item/fchart.naver?code=114840", "아이패밀리에스씨 차트보기")</f>
        <v>아이패밀리에스씨 차트보기</v>
      </c>
    </row>
    <row r="1850" spans="1:33" x14ac:dyDescent="0.3">
      <c r="A1850" t="s">
        <v>7427</v>
      </c>
      <c r="B1850" t="s">
        <v>34</v>
      </c>
      <c r="C1850" t="s">
        <v>7428</v>
      </c>
      <c r="D1850">
        <v>2270.19</v>
      </c>
      <c r="E1850" t="s">
        <v>7429</v>
      </c>
      <c r="F1850">
        <v>0</v>
      </c>
      <c r="G1850">
        <v>0</v>
      </c>
      <c r="H1850">
        <v>0</v>
      </c>
      <c r="I1850">
        <v>2.4900000095367432</v>
      </c>
      <c r="J1850" t="s">
        <v>7430</v>
      </c>
      <c r="K1850">
        <v>199200</v>
      </c>
      <c r="L1850">
        <v>142700</v>
      </c>
      <c r="M1850">
        <v>-28.36</v>
      </c>
      <c r="N1850">
        <v>-1.86</v>
      </c>
      <c r="O1850">
        <v>-9.39</v>
      </c>
      <c r="P1850">
        <v>-0.62</v>
      </c>
      <c r="Q1850">
        <v>2.2400000000000002</v>
      </c>
      <c r="R1850">
        <v>-0.64</v>
      </c>
      <c r="S1850">
        <v>-15.04</v>
      </c>
      <c r="T1850">
        <v>0.66</v>
      </c>
      <c r="U1850">
        <v>1.28</v>
      </c>
      <c r="V1850">
        <v>2.2400000000000002</v>
      </c>
      <c r="W1850">
        <v>2.11</v>
      </c>
      <c r="X1850">
        <v>1.48</v>
      </c>
      <c r="Y1850">
        <v>1.64</v>
      </c>
      <c r="Z1850">
        <v>2.82</v>
      </c>
      <c r="AA1850">
        <v>7.34</v>
      </c>
      <c r="AB1850">
        <v>0.28000000000000003</v>
      </c>
      <c r="AC1850">
        <v>1.06</v>
      </c>
      <c r="AD1850">
        <v>0.43</v>
      </c>
      <c r="AE1850">
        <v>9.17</v>
      </c>
      <c r="AF1850">
        <v>3.5166666666666671</v>
      </c>
      <c r="AG1850" t="str">
        <f>HYPERLINK("https://finance.naver.com/item/fchart.naver?code=051905", "LG생활건강우 차트보기")</f>
        <v>LG생활건강우 차트보기</v>
      </c>
    </row>
    <row r="1851" spans="1:33" x14ac:dyDescent="0.3">
      <c r="A1851" t="s">
        <v>7431</v>
      </c>
      <c r="B1851" t="s">
        <v>34</v>
      </c>
      <c r="C1851" t="s">
        <v>7432</v>
      </c>
      <c r="D1851">
        <v>7967.14</v>
      </c>
      <c r="E1851" t="s">
        <v>7433</v>
      </c>
      <c r="F1851">
        <v>0</v>
      </c>
      <c r="G1851">
        <v>0</v>
      </c>
      <c r="H1851">
        <v>0</v>
      </c>
      <c r="I1851">
        <v>0</v>
      </c>
      <c r="J1851" t="s">
        <v>7434</v>
      </c>
      <c r="K1851">
        <v>6370</v>
      </c>
      <c r="L1851">
        <v>4820</v>
      </c>
      <c r="M1851">
        <v>-24.33</v>
      </c>
      <c r="N1851">
        <v>-7.31</v>
      </c>
      <c r="O1851">
        <v>-5.97</v>
      </c>
      <c r="P1851">
        <v>-2.73</v>
      </c>
      <c r="Q1851">
        <v>-4.2300000000000004</v>
      </c>
      <c r="R1851">
        <v>-6.98</v>
      </c>
      <c r="S1851">
        <v>-12.3</v>
      </c>
      <c r="T1851">
        <v>3.16</v>
      </c>
      <c r="U1851">
        <v>1.1299999999999999</v>
      </c>
      <c r="V1851">
        <v>1.91</v>
      </c>
      <c r="W1851">
        <v>2.83</v>
      </c>
      <c r="X1851">
        <v>2.16</v>
      </c>
      <c r="Y1851">
        <v>1.67</v>
      </c>
      <c r="Z1851">
        <v>2.31</v>
      </c>
      <c r="AA1851">
        <v>5.28</v>
      </c>
      <c r="AB1851">
        <v>1.43</v>
      </c>
      <c r="AC1851">
        <v>1.49</v>
      </c>
      <c r="AD1851">
        <v>3.23</v>
      </c>
      <c r="AE1851">
        <v>7.37</v>
      </c>
      <c r="AF1851">
        <v>3.5183333333333331</v>
      </c>
      <c r="AG1851" t="str">
        <f>HYPERLINK("https://finance.naver.com/item/fchart.naver?code=33626K", "두산퓨얼셀1우 차트보기")</f>
        <v>두산퓨얼셀1우 차트보기</v>
      </c>
    </row>
    <row r="1852" spans="1:33" x14ac:dyDescent="0.3">
      <c r="A1852" t="s">
        <v>7435</v>
      </c>
      <c r="B1852" t="s">
        <v>34</v>
      </c>
      <c r="C1852" t="s">
        <v>7436</v>
      </c>
      <c r="D1852">
        <v>447476.14</v>
      </c>
      <c r="E1852" t="s">
        <v>7437</v>
      </c>
      <c r="F1852">
        <v>0</v>
      </c>
      <c r="G1852">
        <v>1.129999995231628</v>
      </c>
      <c r="H1852">
        <v>0</v>
      </c>
      <c r="I1852">
        <v>0.4699999988079071</v>
      </c>
      <c r="J1852" t="s">
        <v>7438</v>
      </c>
      <c r="K1852">
        <v>10000</v>
      </c>
      <c r="L1852">
        <v>9600</v>
      </c>
      <c r="M1852">
        <v>-4</v>
      </c>
      <c r="N1852">
        <v>6.08</v>
      </c>
      <c r="O1852">
        <v>14.71</v>
      </c>
      <c r="P1852">
        <v>9.7100000000000009</v>
      </c>
      <c r="Q1852">
        <v>-5.13</v>
      </c>
      <c r="R1852">
        <v>1.64</v>
      </c>
      <c r="S1852">
        <v>-18.23</v>
      </c>
      <c r="T1852">
        <v>2.97</v>
      </c>
      <c r="U1852">
        <v>2.77</v>
      </c>
      <c r="V1852">
        <v>3.11</v>
      </c>
      <c r="W1852">
        <v>3.5</v>
      </c>
      <c r="X1852">
        <v>2.25</v>
      </c>
      <c r="Y1852">
        <v>2.16</v>
      </c>
      <c r="Z1852">
        <v>2.0499999999999998</v>
      </c>
      <c r="AA1852">
        <v>5.31</v>
      </c>
      <c r="AB1852">
        <v>3.12</v>
      </c>
      <c r="AC1852">
        <v>1.47</v>
      </c>
      <c r="AD1852">
        <v>0.73</v>
      </c>
      <c r="AE1852">
        <v>8.44</v>
      </c>
      <c r="AF1852">
        <v>3.52</v>
      </c>
      <c r="AG1852" t="str">
        <f>HYPERLINK("https://finance.naver.com/item/fchart.naver?code=241590", "화승엔터프라이즈 차트보기")</f>
        <v>화승엔터프라이즈 차트보기</v>
      </c>
    </row>
    <row r="1853" spans="1:33" x14ac:dyDescent="0.3">
      <c r="A1853" t="s">
        <v>7439</v>
      </c>
      <c r="B1853" t="s">
        <v>55</v>
      </c>
      <c r="C1853" t="s">
        <v>7440</v>
      </c>
      <c r="D1853">
        <v>58228.29</v>
      </c>
      <c r="E1853" t="s">
        <v>7441</v>
      </c>
      <c r="F1853">
        <v>14.81</v>
      </c>
      <c r="G1853">
        <v>0.5899999737739563</v>
      </c>
      <c r="H1853">
        <v>100</v>
      </c>
      <c r="I1853">
        <v>2.029999971389771</v>
      </c>
      <c r="J1853" t="s">
        <v>7442</v>
      </c>
      <c r="K1853">
        <v>1540</v>
      </c>
      <c r="L1853">
        <v>1481</v>
      </c>
      <c r="M1853">
        <v>-3.83</v>
      </c>
      <c r="N1853">
        <v>1.23</v>
      </c>
      <c r="O1853">
        <v>-1.8</v>
      </c>
      <c r="P1853">
        <v>7.33</v>
      </c>
      <c r="Q1853">
        <v>-6.08</v>
      </c>
      <c r="R1853">
        <v>-6.38</v>
      </c>
      <c r="S1853">
        <v>2.21</v>
      </c>
      <c r="T1853">
        <v>0.78</v>
      </c>
      <c r="U1853">
        <v>0.65</v>
      </c>
      <c r="V1853">
        <v>0.92</v>
      </c>
      <c r="W1853">
        <v>2.91</v>
      </c>
      <c r="X1853">
        <v>1.1499999999999999</v>
      </c>
      <c r="Y1853">
        <v>1.91</v>
      </c>
      <c r="Z1853">
        <v>1.58</v>
      </c>
      <c r="AA1853">
        <v>2.77</v>
      </c>
      <c r="AB1853">
        <v>7.97</v>
      </c>
      <c r="AC1853">
        <v>2.09</v>
      </c>
      <c r="AD1853">
        <v>5.55</v>
      </c>
      <c r="AE1853">
        <v>1.1599999999999999</v>
      </c>
      <c r="AF1853">
        <v>3.52</v>
      </c>
      <c r="AG1853" t="str">
        <f>HYPERLINK("https://finance.naver.com/item/fchart.naver?code=042110", "에스씨디 차트보기")</f>
        <v>에스씨디 차트보기</v>
      </c>
    </row>
    <row r="1854" spans="1:33" x14ac:dyDescent="0.3">
      <c r="A1854" t="s">
        <v>7443</v>
      </c>
      <c r="B1854" t="s">
        <v>55</v>
      </c>
      <c r="C1854" t="s">
        <v>7444</v>
      </c>
      <c r="D1854">
        <v>270811.14</v>
      </c>
      <c r="E1854" t="s">
        <v>7445</v>
      </c>
      <c r="F1854">
        <v>29.55</v>
      </c>
      <c r="G1854">
        <v>1.029999971389771</v>
      </c>
      <c r="H1854">
        <v>287</v>
      </c>
      <c r="I1854">
        <v>0</v>
      </c>
      <c r="J1854" t="s">
        <v>7446</v>
      </c>
      <c r="K1854">
        <v>6870</v>
      </c>
      <c r="L1854">
        <v>8480</v>
      </c>
      <c r="M1854">
        <v>23.44</v>
      </c>
      <c r="N1854">
        <v>30.46</v>
      </c>
      <c r="O1854">
        <v>17.38</v>
      </c>
      <c r="P1854">
        <v>-5.65</v>
      </c>
      <c r="Q1854">
        <v>-8.5</v>
      </c>
      <c r="R1854">
        <v>-4.2300000000000004</v>
      </c>
      <c r="S1854">
        <v>-3.69</v>
      </c>
      <c r="T1854">
        <v>7.78</v>
      </c>
      <c r="U1854">
        <v>3.48</v>
      </c>
      <c r="V1854">
        <v>1.81</v>
      </c>
      <c r="W1854">
        <v>3.55</v>
      </c>
      <c r="X1854">
        <v>1.57</v>
      </c>
      <c r="Y1854">
        <v>0.92</v>
      </c>
      <c r="Z1854">
        <v>3.92</v>
      </c>
      <c r="AA1854">
        <v>4.99</v>
      </c>
      <c r="AB1854">
        <v>3.12</v>
      </c>
      <c r="AC1854">
        <v>2.39</v>
      </c>
      <c r="AD1854">
        <v>2.69</v>
      </c>
      <c r="AE1854">
        <v>4.01</v>
      </c>
      <c r="AF1854">
        <v>3.5200000000000009</v>
      </c>
      <c r="AG1854" t="str">
        <f>HYPERLINK("https://finance.naver.com/item/fchart.naver?code=078160", "메디포스트 차트보기")</f>
        <v>메디포스트 차트보기</v>
      </c>
    </row>
    <row r="1855" spans="1:33" x14ac:dyDescent="0.3">
      <c r="A1855" t="s">
        <v>7447</v>
      </c>
      <c r="B1855" t="s">
        <v>55</v>
      </c>
      <c r="C1855" t="s">
        <v>7448</v>
      </c>
      <c r="D1855">
        <v>13704.81</v>
      </c>
      <c r="E1855" t="s">
        <v>7449</v>
      </c>
      <c r="F1855">
        <v>199.09</v>
      </c>
      <c r="G1855">
        <v>2.1800000667572021</v>
      </c>
      <c r="H1855">
        <v>33</v>
      </c>
      <c r="I1855">
        <v>0</v>
      </c>
      <c r="J1855" t="s">
        <v>7450</v>
      </c>
      <c r="K1855">
        <v>7290</v>
      </c>
      <c r="L1855">
        <v>6570</v>
      </c>
      <c r="M1855">
        <v>-9.8800000000000008</v>
      </c>
      <c r="N1855">
        <v>0.46</v>
      </c>
      <c r="O1855">
        <v>-0.76</v>
      </c>
      <c r="P1855">
        <v>3.46</v>
      </c>
      <c r="Q1855">
        <v>-10.34</v>
      </c>
      <c r="R1855">
        <v>10.11</v>
      </c>
      <c r="S1855">
        <v>-9.6</v>
      </c>
      <c r="T1855">
        <v>0.91</v>
      </c>
      <c r="U1855">
        <v>1.1200000000000001</v>
      </c>
      <c r="V1855">
        <v>3.25</v>
      </c>
      <c r="W1855">
        <v>2.16</v>
      </c>
      <c r="X1855">
        <v>1.64</v>
      </c>
      <c r="Y1855">
        <v>1.21</v>
      </c>
      <c r="Z1855">
        <v>0.51</v>
      </c>
      <c r="AA1855">
        <v>0.68</v>
      </c>
      <c r="AB1855">
        <v>1.06</v>
      </c>
      <c r="AC1855">
        <v>4.79</v>
      </c>
      <c r="AD1855">
        <v>6.16</v>
      </c>
      <c r="AE1855">
        <v>7.93</v>
      </c>
      <c r="AF1855">
        <v>3.5216666666666669</v>
      </c>
      <c r="AG1855" t="str">
        <f>HYPERLINK("https://finance.naver.com/item/fchart.naver?code=352910", "오비고 차트보기")</f>
        <v>오비고 차트보기</v>
      </c>
    </row>
    <row r="1856" spans="1:33" x14ac:dyDescent="0.3">
      <c r="A1856" t="s">
        <v>7451</v>
      </c>
      <c r="B1856" t="s">
        <v>55</v>
      </c>
      <c r="C1856" t="s">
        <v>7452</v>
      </c>
      <c r="D1856">
        <v>31627.1</v>
      </c>
      <c r="E1856" t="s">
        <v>7453</v>
      </c>
      <c r="F1856">
        <v>17.760000000000002</v>
      </c>
      <c r="G1856">
        <v>0.81999999284744263</v>
      </c>
      <c r="H1856">
        <v>513</v>
      </c>
      <c r="I1856">
        <v>0</v>
      </c>
      <c r="J1856" t="s">
        <v>7454</v>
      </c>
      <c r="K1856">
        <v>11090</v>
      </c>
      <c r="L1856">
        <v>9110</v>
      </c>
      <c r="M1856">
        <v>-17.850000000000001</v>
      </c>
      <c r="N1856">
        <v>3.88</v>
      </c>
      <c r="O1856">
        <v>-6.9</v>
      </c>
      <c r="P1856">
        <v>-5.58</v>
      </c>
      <c r="Q1856">
        <v>22.77</v>
      </c>
      <c r="R1856">
        <v>-20.309999999999999</v>
      </c>
      <c r="S1856">
        <v>12.6</v>
      </c>
      <c r="T1856">
        <v>2.16</v>
      </c>
      <c r="U1856">
        <v>2.67</v>
      </c>
      <c r="V1856">
        <v>4.09</v>
      </c>
      <c r="W1856">
        <v>8.34</v>
      </c>
      <c r="X1856">
        <v>2.8</v>
      </c>
      <c r="Y1856">
        <v>2.33</v>
      </c>
      <c r="Z1856">
        <v>1.8</v>
      </c>
      <c r="AA1856">
        <v>2.58</v>
      </c>
      <c r="AB1856">
        <v>1.36</v>
      </c>
      <c r="AC1856">
        <v>2.73</v>
      </c>
      <c r="AD1856">
        <v>7.25</v>
      </c>
      <c r="AE1856">
        <v>5.41</v>
      </c>
      <c r="AF1856">
        <v>3.5216666666666669</v>
      </c>
      <c r="AG1856" t="str">
        <f>HYPERLINK("https://finance.naver.com/item/fchart.naver?code=270870", "뉴트리 차트보기")</f>
        <v>뉴트리 차트보기</v>
      </c>
    </row>
    <row r="1857" spans="1:33" x14ac:dyDescent="0.3">
      <c r="A1857" t="s">
        <v>7455</v>
      </c>
      <c r="B1857" t="s">
        <v>55</v>
      </c>
      <c r="C1857" t="s">
        <v>7456</v>
      </c>
      <c r="D1857">
        <v>104614.24</v>
      </c>
      <c r="E1857" t="s">
        <v>7457</v>
      </c>
      <c r="F1857">
        <v>0</v>
      </c>
      <c r="G1857">
        <v>2.4800000190734859</v>
      </c>
      <c r="H1857">
        <v>0</v>
      </c>
      <c r="I1857">
        <v>0</v>
      </c>
      <c r="J1857" t="s">
        <v>7458</v>
      </c>
      <c r="K1857">
        <v>19950</v>
      </c>
      <c r="L1857">
        <v>8350</v>
      </c>
      <c r="M1857">
        <v>-58.15</v>
      </c>
      <c r="N1857">
        <v>-8.74</v>
      </c>
      <c r="O1857">
        <v>-0.11</v>
      </c>
      <c r="P1857">
        <v>-0.62</v>
      </c>
      <c r="Q1857">
        <v>-29.08</v>
      </c>
      <c r="R1857">
        <v>-34.78</v>
      </c>
      <c r="S1857">
        <v>-3.77</v>
      </c>
      <c r="T1857">
        <v>3.93</v>
      </c>
      <c r="U1857">
        <v>4.0999999999999996</v>
      </c>
      <c r="V1857">
        <v>5.0999999999999996</v>
      </c>
      <c r="W1857">
        <v>5.81</v>
      </c>
      <c r="X1857">
        <v>2.7</v>
      </c>
      <c r="Y1857">
        <v>4.26</v>
      </c>
      <c r="Z1857">
        <v>2.2200000000000002</v>
      </c>
      <c r="AA1857">
        <v>0.03</v>
      </c>
      <c r="AB1857">
        <v>0.12</v>
      </c>
      <c r="AC1857">
        <v>5.01</v>
      </c>
      <c r="AD1857">
        <v>12.88</v>
      </c>
      <c r="AE1857">
        <v>0.88</v>
      </c>
      <c r="AF1857">
        <v>3.523333333333333</v>
      </c>
      <c r="AG1857" t="str">
        <f>HYPERLINK("https://finance.naver.com/item/fchart.naver?code=451220", "아이엠티 차트보기")</f>
        <v>아이엠티 차트보기</v>
      </c>
    </row>
    <row r="1858" spans="1:33" x14ac:dyDescent="0.3">
      <c r="A1858" t="s">
        <v>7459</v>
      </c>
      <c r="B1858" t="s">
        <v>55</v>
      </c>
      <c r="C1858" t="s">
        <v>7460</v>
      </c>
      <c r="D1858">
        <v>122918.33</v>
      </c>
      <c r="E1858" t="s">
        <v>7461</v>
      </c>
      <c r="F1858">
        <v>0</v>
      </c>
      <c r="G1858">
        <v>0.38999998569488531</v>
      </c>
      <c r="H1858">
        <v>0</v>
      </c>
      <c r="I1858">
        <v>1.379999995231628</v>
      </c>
      <c r="J1858" t="s">
        <v>7462</v>
      </c>
      <c r="K1858">
        <v>2325</v>
      </c>
      <c r="L1858">
        <v>3635</v>
      </c>
      <c r="M1858">
        <v>56.34</v>
      </c>
      <c r="N1858">
        <v>9.49</v>
      </c>
      <c r="O1858">
        <v>8.4700000000000006</v>
      </c>
      <c r="P1858">
        <v>4.05</v>
      </c>
      <c r="Q1858">
        <v>24.69</v>
      </c>
      <c r="R1858">
        <v>4.07</v>
      </c>
      <c r="S1858">
        <v>-6.24</v>
      </c>
      <c r="T1858">
        <v>2.19</v>
      </c>
      <c r="U1858">
        <v>1.98</v>
      </c>
      <c r="V1858">
        <v>2.08</v>
      </c>
      <c r="W1858">
        <v>4.6900000000000004</v>
      </c>
      <c r="X1858">
        <v>2.15</v>
      </c>
      <c r="Y1858">
        <v>1.81</v>
      </c>
      <c r="Z1858">
        <v>4.33</v>
      </c>
      <c r="AA1858">
        <v>4.28</v>
      </c>
      <c r="AB1858">
        <v>1.95</v>
      </c>
      <c r="AC1858">
        <v>5.26</v>
      </c>
      <c r="AD1858">
        <v>1.89</v>
      </c>
      <c r="AE1858">
        <v>3.45</v>
      </c>
      <c r="AF1858">
        <v>3.526666666666666</v>
      </c>
      <c r="AG1858" t="str">
        <f>HYPERLINK("https://finance.naver.com/item/fchart.naver?code=039020", "이건홀딩스 차트보기")</f>
        <v>이건홀딩스 차트보기</v>
      </c>
    </row>
    <row r="1859" spans="1:33" x14ac:dyDescent="0.3">
      <c r="A1859" t="s">
        <v>7463</v>
      </c>
      <c r="B1859" t="s">
        <v>55</v>
      </c>
      <c r="C1859" t="s">
        <v>7464</v>
      </c>
      <c r="D1859">
        <v>88624.14</v>
      </c>
      <c r="E1859" t="s">
        <v>7465</v>
      </c>
      <c r="F1859">
        <v>0</v>
      </c>
      <c r="G1859">
        <v>1.6599999666213989</v>
      </c>
      <c r="H1859">
        <v>0</v>
      </c>
      <c r="I1859">
        <v>0</v>
      </c>
      <c r="J1859" t="s">
        <v>7466</v>
      </c>
      <c r="K1859">
        <v>6190</v>
      </c>
      <c r="L1859">
        <v>3295</v>
      </c>
      <c r="M1859">
        <v>-46.77</v>
      </c>
      <c r="N1859">
        <v>-11.78</v>
      </c>
      <c r="O1859">
        <v>4.07</v>
      </c>
      <c r="P1859">
        <v>3.84</v>
      </c>
      <c r="Q1859">
        <v>-21.15</v>
      </c>
      <c r="R1859">
        <v>-4.53</v>
      </c>
      <c r="S1859">
        <v>-29.62</v>
      </c>
      <c r="T1859">
        <v>5.19</v>
      </c>
      <c r="U1859">
        <v>1.6</v>
      </c>
      <c r="V1859">
        <v>4.58</v>
      </c>
      <c r="W1859">
        <v>3.21</v>
      </c>
      <c r="X1859">
        <v>1.8</v>
      </c>
      <c r="Y1859">
        <v>4.63</v>
      </c>
      <c r="Z1859">
        <v>2.27</v>
      </c>
      <c r="AA1859">
        <v>2.54</v>
      </c>
      <c r="AB1859">
        <v>0.84</v>
      </c>
      <c r="AC1859">
        <v>6.59</v>
      </c>
      <c r="AD1859">
        <v>2.52</v>
      </c>
      <c r="AE1859">
        <v>6.4</v>
      </c>
      <c r="AF1859">
        <v>3.5266666666666668</v>
      </c>
      <c r="AG1859" t="str">
        <f>HYPERLINK("https://finance.naver.com/item/fchart.naver?code=236810", "엔비티 차트보기")</f>
        <v>엔비티 차트보기</v>
      </c>
    </row>
    <row r="1860" spans="1:33" x14ac:dyDescent="0.3">
      <c r="A1860" t="s">
        <v>7467</v>
      </c>
      <c r="B1860" t="s">
        <v>34</v>
      </c>
      <c r="C1860" t="s">
        <v>7468</v>
      </c>
      <c r="D1860">
        <v>3943526.57</v>
      </c>
      <c r="E1860" t="s">
        <v>7469</v>
      </c>
      <c r="F1860">
        <v>0</v>
      </c>
      <c r="G1860">
        <v>2.4800000190734859</v>
      </c>
      <c r="H1860">
        <v>0</v>
      </c>
      <c r="I1860">
        <v>0.62000000476837158</v>
      </c>
      <c r="J1860" t="s">
        <v>7470</v>
      </c>
      <c r="K1860">
        <v>193000</v>
      </c>
      <c r="L1860">
        <v>192600</v>
      </c>
      <c r="M1860">
        <v>-0.21</v>
      </c>
      <c r="N1860">
        <v>5.71</v>
      </c>
      <c r="O1860">
        <v>10.17</v>
      </c>
      <c r="P1860">
        <v>0.34</v>
      </c>
      <c r="Q1860">
        <v>-10.14</v>
      </c>
      <c r="R1860">
        <v>-17.37</v>
      </c>
      <c r="S1860">
        <v>21.78</v>
      </c>
      <c r="T1860">
        <v>3.3</v>
      </c>
      <c r="U1860">
        <v>3.32</v>
      </c>
      <c r="V1860">
        <v>4.41</v>
      </c>
      <c r="W1860">
        <v>4.71</v>
      </c>
      <c r="X1860">
        <v>2.86</v>
      </c>
      <c r="Y1860">
        <v>2.7</v>
      </c>
      <c r="Z1860">
        <v>1.73</v>
      </c>
      <c r="AA1860">
        <v>3.06</v>
      </c>
      <c r="AB1860">
        <v>0.08</v>
      </c>
      <c r="AC1860">
        <v>2.15</v>
      </c>
      <c r="AD1860">
        <v>6.07</v>
      </c>
      <c r="AE1860">
        <v>8.07</v>
      </c>
      <c r="AF1860">
        <v>3.5266666666666668</v>
      </c>
      <c r="AG1860" t="str">
        <f>HYPERLINK("https://finance.naver.com/item/fchart.naver?code=000660", "SK하이닉스 차트보기")</f>
        <v>SK하이닉스 차트보기</v>
      </c>
    </row>
    <row r="1861" spans="1:33" x14ac:dyDescent="0.3">
      <c r="A1861" t="s">
        <v>7471</v>
      </c>
      <c r="B1861" t="s">
        <v>55</v>
      </c>
      <c r="C1861" t="s">
        <v>7472</v>
      </c>
      <c r="D1861">
        <v>25378.62</v>
      </c>
      <c r="E1861" t="s">
        <v>7473</v>
      </c>
      <c r="F1861">
        <v>0</v>
      </c>
      <c r="G1861">
        <v>0.87000000476837158</v>
      </c>
      <c r="H1861">
        <v>0</v>
      </c>
      <c r="I1861">
        <v>0</v>
      </c>
      <c r="J1861" t="s">
        <v>7474</v>
      </c>
      <c r="K1861">
        <v>8530</v>
      </c>
      <c r="L1861">
        <v>5540</v>
      </c>
      <c r="M1861">
        <v>-35.049999999999997</v>
      </c>
      <c r="N1861">
        <v>-5.94</v>
      </c>
      <c r="O1861">
        <v>-2.3199999999999998</v>
      </c>
      <c r="P1861">
        <v>-6.85</v>
      </c>
      <c r="Q1861">
        <v>0</v>
      </c>
      <c r="R1861">
        <v>-14.52</v>
      </c>
      <c r="S1861">
        <v>-7.04</v>
      </c>
      <c r="T1861">
        <v>2.0699999999999998</v>
      </c>
      <c r="U1861">
        <v>2.12</v>
      </c>
      <c r="V1861">
        <v>2.14</v>
      </c>
      <c r="W1861">
        <v>5.33</v>
      </c>
      <c r="X1861">
        <v>1.66</v>
      </c>
      <c r="Y1861">
        <v>1.34</v>
      </c>
      <c r="Z1861">
        <v>2.87</v>
      </c>
      <c r="AA1861">
        <v>1.0900000000000001</v>
      </c>
      <c r="AB1861">
        <v>3.2</v>
      </c>
      <c r="AC1861">
        <v>0</v>
      </c>
      <c r="AD1861">
        <v>8.75</v>
      </c>
      <c r="AE1861">
        <v>5.25</v>
      </c>
      <c r="AF1861">
        <v>3.5266666666666668</v>
      </c>
      <c r="AG1861" t="str">
        <f>HYPERLINK("https://finance.naver.com/item/fchart.naver?code=263600", "덕우전자 차트보기")</f>
        <v>덕우전자 차트보기</v>
      </c>
    </row>
    <row r="1862" spans="1:33" x14ac:dyDescent="0.3">
      <c r="A1862" t="s">
        <v>7475</v>
      </c>
      <c r="B1862" t="s">
        <v>34</v>
      </c>
      <c r="C1862" t="s">
        <v>7476</v>
      </c>
      <c r="D1862">
        <v>33177.14</v>
      </c>
      <c r="E1862" t="s">
        <v>7477</v>
      </c>
      <c r="F1862">
        <v>0</v>
      </c>
      <c r="G1862">
        <v>0.31000000238418579</v>
      </c>
      <c r="H1862">
        <v>0</v>
      </c>
      <c r="I1862">
        <v>0</v>
      </c>
      <c r="J1862" t="s">
        <v>7478</v>
      </c>
      <c r="K1862">
        <v>3760</v>
      </c>
      <c r="L1862">
        <v>2550</v>
      </c>
      <c r="M1862">
        <v>-32.18</v>
      </c>
      <c r="N1862">
        <v>-5.38</v>
      </c>
      <c r="O1862">
        <v>-9.01</v>
      </c>
      <c r="P1862">
        <v>-2.4300000000000002</v>
      </c>
      <c r="Q1862">
        <v>-3.67</v>
      </c>
      <c r="R1862">
        <v>-4.93</v>
      </c>
      <c r="S1862">
        <v>-12.6</v>
      </c>
      <c r="T1862">
        <v>1.65</v>
      </c>
      <c r="U1862">
        <v>1.86</v>
      </c>
      <c r="V1862">
        <v>1.66</v>
      </c>
      <c r="W1862">
        <v>3.88</v>
      </c>
      <c r="X1862">
        <v>2.75</v>
      </c>
      <c r="Y1862">
        <v>1.42</v>
      </c>
      <c r="Z1862">
        <v>3.26</v>
      </c>
      <c r="AA1862">
        <v>4.84</v>
      </c>
      <c r="AB1862">
        <v>1.46</v>
      </c>
      <c r="AC1862">
        <v>0.95</v>
      </c>
      <c r="AD1862">
        <v>1.79</v>
      </c>
      <c r="AE1862">
        <v>8.8699999999999992</v>
      </c>
      <c r="AF1862">
        <v>3.528333333333332</v>
      </c>
      <c r="AG1862" t="str">
        <f>HYPERLINK("https://finance.naver.com/item/fchart.naver?code=079980", "휴비스 차트보기")</f>
        <v>휴비스 차트보기</v>
      </c>
    </row>
    <row r="1863" spans="1:33" x14ac:dyDescent="0.3">
      <c r="A1863" t="s">
        <v>7479</v>
      </c>
      <c r="B1863" t="s">
        <v>34</v>
      </c>
      <c r="C1863" t="s">
        <v>7480</v>
      </c>
      <c r="D1863">
        <v>2045.29</v>
      </c>
      <c r="E1863" t="s">
        <v>7481</v>
      </c>
      <c r="F1863">
        <v>0</v>
      </c>
      <c r="G1863">
        <v>0.15999999642372131</v>
      </c>
      <c r="H1863">
        <v>0</v>
      </c>
      <c r="I1863">
        <v>0</v>
      </c>
      <c r="J1863" t="s">
        <v>7482</v>
      </c>
      <c r="K1863">
        <v>6550</v>
      </c>
      <c r="L1863">
        <v>5740</v>
      </c>
      <c r="M1863">
        <v>-12.37</v>
      </c>
      <c r="N1863">
        <v>1.23</v>
      </c>
      <c r="O1863">
        <v>-3.48</v>
      </c>
      <c r="P1863">
        <v>0.68</v>
      </c>
      <c r="Q1863">
        <v>-1.65</v>
      </c>
      <c r="R1863">
        <v>-4.74</v>
      </c>
      <c r="S1863">
        <v>-4.22</v>
      </c>
      <c r="T1863">
        <v>1.88</v>
      </c>
      <c r="U1863">
        <v>0.56999999999999995</v>
      </c>
      <c r="V1863">
        <v>1.06</v>
      </c>
      <c r="W1863">
        <v>2.25</v>
      </c>
      <c r="X1863">
        <v>0.66</v>
      </c>
      <c r="Y1863">
        <v>0.72</v>
      </c>
      <c r="Z1863">
        <v>0.65</v>
      </c>
      <c r="AA1863">
        <v>6.11</v>
      </c>
      <c r="AB1863">
        <v>0.64</v>
      </c>
      <c r="AC1863">
        <v>0.73</v>
      </c>
      <c r="AD1863">
        <v>7.18</v>
      </c>
      <c r="AE1863">
        <v>5.86</v>
      </c>
      <c r="AF1863">
        <v>3.5283333333333342</v>
      </c>
      <c r="AG1863" t="str">
        <f>HYPERLINK("https://finance.naver.com/item/fchart.naver?code=001070", "대한방직 차트보기")</f>
        <v>대한방직 차트보기</v>
      </c>
    </row>
    <row r="1864" spans="1:33" x14ac:dyDescent="0.3">
      <c r="A1864" t="s">
        <v>7483</v>
      </c>
      <c r="B1864" t="s">
        <v>55</v>
      </c>
      <c r="C1864" t="s">
        <v>7484</v>
      </c>
      <c r="D1864">
        <v>18400.71</v>
      </c>
      <c r="E1864" t="s">
        <v>7485</v>
      </c>
      <c r="F1864">
        <v>0</v>
      </c>
      <c r="G1864">
        <v>1.0399999618530269</v>
      </c>
      <c r="H1864">
        <v>0</v>
      </c>
      <c r="I1864">
        <v>0</v>
      </c>
      <c r="J1864" t="s">
        <v>7486</v>
      </c>
      <c r="K1864">
        <v>3345</v>
      </c>
      <c r="L1864">
        <v>1902</v>
      </c>
      <c r="M1864">
        <v>-43.14</v>
      </c>
      <c r="N1864">
        <v>-5.84</v>
      </c>
      <c r="O1864">
        <v>-8.76</v>
      </c>
      <c r="P1864">
        <v>-14.13</v>
      </c>
      <c r="Q1864">
        <v>10.74</v>
      </c>
      <c r="R1864">
        <v>-9.06</v>
      </c>
      <c r="S1864">
        <v>-6.45</v>
      </c>
      <c r="T1864">
        <v>2.3199999999999998</v>
      </c>
      <c r="U1864">
        <v>1.76</v>
      </c>
      <c r="V1864">
        <v>4.8899999999999997</v>
      </c>
      <c r="W1864">
        <v>8.7100000000000009</v>
      </c>
      <c r="X1864">
        <v>1.84</v>
      </c>
      <c r="Y1864">
        <v>1.39</v>
      </c>
      <c r="Z1864">
        <v>2.52</v>
      </c>
      <c r="AA1864">
        <v>4.9800000000000004</v>
      </c>
      <c r="AB1864">
        <v>2.89</v>
      </c>
      <c r="AC1864">
        <v>1.23</v>
      </c>
      <c r="AD1864">
        <v>4.92</v>
      </c>
      <c r="AE1864">
        <v>4.6399999999999997</v>
      </c>
      <c r="AF1864">
        <v>3.53</v>
      </c>
      <c r="AG1864" t="str">
        <f>HYPERLINK("https://finance.naver.com/item/fchart.naver?code=291810", "핀텔 차트보기")</f>
        <v>핀텔 차트보기</v>
      </c>
    </row>
    <row r="1865" spans="1:33" x14ac:dyDescent="0.3">
      <c r="A1865" t="s">
        <v>7487</v>
      </c>
      <c r="B1865" t="s">
        <v>55</v>
      </c>
      <c r="C1865" t="s">
        <v>7488</v>
      </c>
      <c r="D1865">
        <v>28893.38</v>
      </c>
      <c r="E1865" t="s">
        <v>7489</v>
      </c>
      <c r="F1865">
        <v>11.37</v>
      </c>
      <c r="G1865">
        <v>2.9300000667572021</v>
      </c>
      <c r="H1865">
        <v>846</v>
      </c>
      <c r="I1865">
        <v>3.9500000476837158</v>
      </c>
      <c r="J1865" t="s">
        <v>7490</v>
      </c>
      <c r="K1865">
        <v>11180</v>
      </c>
      <c r="L1865">
        <v>9620</v>
      </c>
      <c r="M1865">
        <v>-13.95</v>
      </c>
      <c r="N1865">
        <v>-2.73</v>
      </c>
      <c r="O1865">
        <v>-3.29</v>
      </c>
      <c r="P1865">
        <v>-4.21</v>
      </c>
      <c r="Q1865">
        <v>-2.5499999999999998</v>
      </c>
      <c r="R1865">
        <v>-0.19</v>
      </c>
      <c r="S1865">
        <v>-3.43</v>
      </c>
      <c r="T1865">
        <v>1.1200000000000001</v>
      </c>
      <c r="U1865">
        <v>0.5</v>
      </c>
      <c r="V1865">
        <v>0.76</v>
      </c>
      <c r="W1865">
        <v>0.76</v>
      </c>
      <c r="X1865">
        <v>1.24</v>
      </c>
      <c r="Y1865">
        <v>1.1000000000000001</v>
      </c>
      <c r="Z1865">
        <v>2.44</v>
      </c>
      <c r="AA1865">
        <v>6.58</v>
      </c>
      <c r="AB1865">
        <v>5.54</v>
      </c>
      <c r="AC1865">
        <v>3.36</v>
      </c>
      <c r="AD1865">
        <v>0.15</v>
      </c>
      <c r="AE1865">
        <v>3.12</v>
      </c>
      <c r="AF1865">
        <v>3.5316666666666658</v>
      </c>
      <c r="AG1865" t="str">
        <f>HYPERLINK("https://finance.naver.com/item/fchart.naver?code=049720", "고려신용정보 차트보기")</f>
        <v>고려신용정보 차트보기</v>
      </c>
    </row>
    <row r="1866" spans="1:33" x14ac:dyDescent="0.3">
      <c r="A1866" t="s">
        <v>7491</v>
      </c>
      <c r="B1866" t="s">
        <v>55</v>
      </c>
      <c r="C1866" t="s">
        <v>7492</v>
      </c>
      <c r="D1866">
        <v>8029975.2400000002</v>
      </c>
      <c r="E1866" t="s">
        <v>7493</v>
      </c>
      <c r="F1866">
        <v>0</v>
      </c>
      <c r="G1866">
        <v>0.68000000715255737</v>
      </c>
      <c r="H1866">
        <v>0</v>
      </c>
      <c r="I1866">
        <v>0</v>
      </c>
      <c r="J1866" t="s">
        <v>7494</v>
      </c>
      <c r="K1866">
        <v>430</v>
      </c>
      <c r="L1866">
        <v>225</v>
      </c>
      <c r="M1866">
        <v>-47.67</v>
      </c>
      <c r="N1866">
        <v>2.27</v>
      </c>
      <c r="O1866">
        <v>-14.78</v>
      </c>
      <c r="P1866">
        <v>7.3</v>
      </c>
      <c r="Q1866">
        <v>-22.69</v>
      </c>
      <c r="R1866">
        <v>-15.22</v>
      </c>
      <c r="S1866">
        <v>-0.96</v>
      </c>
      <c r="T1866">
        <v>5.14</v>
      </c>
      <c r="U1866">
        <v>5.25</v>
      </c>
      <c r="V1866">
        <v>8.0500000000000007</v>
      </c>
      <c r="W1866">
        <v>4.49</v>
      </c>
      <c r="X1866">
        <v>1.3</v>
      </c>
      <c r="Y1866">
        <v>3.67</v>
      </c>
      <c r="Z1866">
        <v>0.44</v>
      </c>
      <c r="AA1866">
        <v>2.82</v>
      </c>
      <c r="AB1866">
        <v>0.91</v>
      </c>
      <c r="AC1866">
        <v>5.05</v>
      </c>
      <c r="AD1866">
        <v>11.71</v>
      </c>
      <c r="AE1866">
        <v>0.26</v>
      </c>
      <c r="AF1866">
        <v>3.5316666666666672</v>
      </c>
      <c r="AG1866" t="str">
        <f>HYPERLINK("https://finance.naver.com/item/fchart.naver?code=177350", "베셀 차트보기")</f>
        <v>베셀 차트보기</v>
      </c>
    </row>
    <row r="1867" spans="1:33" x14ac:dyDescent="0.3">
      <c r="A1867" t="s">
        <v>7495</v>
      </c>
      <c r="B1867" t="s">
        <v>55</v>
      </c>
      <c r="C1867" t="s">
        <v>7496</v>
      </c>
      <c r="D1867">
        <v>39845.620000000003</v>
      </c>
      <c r="E1867" t="s">
        <v>7497</v>
      </c>
      <c r="F1867">
        <v>0</v>
      </c>
      <c r="G1867">
        <v>1.970000028610229</v>
      </c>
      <c r="H1867">
        <v>0</v>
      </c>
      <c r="I1867">
        <v>0</v>
      </c>
      <c r="J1867" t="s">
        <v>7498</v>
      </c>
      <c r="K1867">
        <v>4990</v>
      </c>
      <c r="L1867">
        <v>4425</v>
      </c>
      <c r="M1867">
        <v>-11.32</v>
      </c>
      <c r="N1867">
        <v>-2.75</v>
      </c>
      <c r="O1867">
        <v>-18.420000000000002</v>
      </c>
      <c r="P1867">
        <v>-0.66</v>
      </c>
      <c r="Q1867">
        <v>33.549999999999997</v>
      </c>
      <c r="R1867">
        <v>-2.44</v>
      </c>
      <c r="S1867">
        <v>-9.01</v>
      </c>
      <c r="T1867">
        <v>2.58</v>
      </c>
      <c r="U1867">
        <v>2.35</v>
      </c>
      <c r="V1867">
        <v>7.43</v>
      </c>
      <c r="W1867">
        <v>8.2899999999999991</v>
      </c>
      <c r="X1867">
        <v>2.02</v>
      </c>
      <c r="Y1867">
        <v>1.3</v>
      </c>
      <c r="Z1867">
        <v>1.07</v>
      </c>
      <c r="AA1867">
        <v>7.84</v>
      </c>
      <c r="AB1867">
        <v>0.09</v>
      </c>
      <c r="AC1867">
        <v>4.05</v>
      </c>
      <c r="AD1867">
        <v>1.21</v>
      </c>
      <c r="AE1867">
        <v>6.93</v>
      </c>
      <c r="AF1867">
        <v>3.5316666666666672</v>
      </c>
      <c r="AG1867" t="str">
        <f>HYPERLINK("https://finance.naver.com/item/fchart.naver?code=353590", "오토앤 차트보기")</f>
        <v>오토앤 차트보기</v>
      </c>
    </row>
    <row r="1868" spans="1:33" x14ac:dyDescent="0.3">
      <c r="A1868" t="s">
        <v>7499</v>
      </c>
      <c r="B1868" t="s">
        <v>55</v>
      </c>
      <c r="C1868" t="s">
        <v>7500</v>
      </c>
      <c r="D1868">
        <v>800579.48</v>
      </c>
      <c r="E1868" t="s">
        <v>7501</v>
      </c>
      <c r="F1868">
        <v>47.63</v>
      </c>
      <c r="G1868">
        <v>2.279999971389771</v>
      </c>
      <c r="H1868">
        <v>99</v>
      </c>
      <c r="I1868">
        <v>0</v>
      </c>
      <c r="J1868" t="s">
        <v>7502</v>
      </c>
      <c r="K1868">
        <v>6830</v>
      </c>
      <c r="L1868">
        <v>4715</v>
      </c>
      <c r="M1868">
        <v>-30.97</v>
      </c>
      <c r="N1868">
        <v>10.68</v>
      </c>
      <c r="O1868">
        <v>-8.9</v>
      </c>
      <c r="P1868">
        <v>12.3</v>
      </c>
      <c r="Q1868">
        <v>-10.51</v>
      </c>
      <c r="R1868">
        <v>-9.4600000000000009</v>
      </c>
      <c r="S1868">
        <v>-10.53</v>
      </c>
      <c r="T1868">
        <v>4.47</v>
      </c>
      <c r="U1868">
        <v>2.44</v>
      </c>
      <c r="V1868">
        <v>5.91</v>
      </c>
      <c r="W1868">
        <v>4.3600000000000003</v>
      </c>
      <c r="X1868">
        <v>2.02</v>
      </c>
      <c r="Y1868">
        <v>1.76</v>
      </c>
      <c r="Z1868">
        <v>2.39</v>
      </c>
      <c r="AA1868">
        <v>3.65</v>
      </c>
      <c r="AB1868">
        <v>2.08</v>
      </c>
      <c r="AC1868">
        <v>2.41</v>
      </c>
      <c r="AD1868">
        <v>4.68</v>
      </c>
      <c r="AE1868">
        <v>5.98</v>
      </c>
      <c r="AF1868">
        <v>3.5316666666666672</v>
      </c>
      <c r="AG1868" t="str">
        <f>HYPERLINK("https://finance.naver.com/item/fchart.naver?code=263800", "데이타솔루션 차트보기")</f>
        <v>데이타솔루션 차트보기</v>
      </c>
    </row>
    <row r="1869" spans="1:33" x14ac:dyDescent="0.3">
      <c r="A1869" t="s">
        <v>7503</v>
      </c>
      <c r="B1869" t="s">
        <v>34</v>
      </c>
      <c r="C1869" t="s">
        <v>7504</v>
      </c>
      <c r="D1869">
        <v>975957.86</v>
      </c>
      <c r="E1869" t="s">
        <v>7505</v>
      </c>
      <c r="F1869">
        <v>0</v>
      </c>
      <c r="G1869">
        <v>0.55000001192092896</v>
      </c>
      <c r="H1869">
        <v>0</v>
      </c>
      <c r="I1869">
        <v>0</v>
      </c>
      <c r="J1869" t="s">
        <v>7506</v>
      </c>
      <c r="K1869">
        <v>880</v>
      </c>
      <c r="L1869">
        <v>441</v>
      </c>
      <c r="M1869">
        <v>-49.89</v>
      </c>
      <c r="N1869">
        <v>2.08</v>
      </c>
      <c r="O1869">
        <v>-30.94</v>
      </c>
      <c r="P1869">
        <v>39.9</v>
      </c>
      <c r="Q1869">
        <v>-61.35</v>
      </c>
      <c r="R1869">
        <v>-12.5</v>
      </c>
      <c r="S1869">
        <v>2.97</v>
      </c>
      <c r="T1869">
        <v>2.2799999999999998</v>
      </c>
      <c r="U1869">
        <v>5.55</v>
      </c>
      <c r="V1869">
        <v>12.64</v>
      </c>
      <c r="W1869">
        <v>8.98</v>
      </c>
      <c r="X1869">
        <v>3.01</v>
      </c>
      <c r="Y1869">
        <v>5.12</v>
      </c>
      <c r="Z1869">
        <v>0.91</v>
      </c>
      <c r="AA1869">
        <v>5.57</v>
      </c>
      <c r="AB1869">
        <v>3.16</v>
      </c>
      <c r="AC1869">
        <v>6.83</v>
      </c>
      <c r="AD1869">
        <v>4.1500000000000004</v>
      </c>
      <c r="AE1869">
        <v>0.57999999999999996</v>
      </c>
      <c r="AF1869">
        <v>3.5333333333333332</v>
      </c>
      <c r="AG1869" t="str">
        <f>HYPERLINK("https://finance.naver.com/item/fchart.naver?code=119650", "KC코트렐 차트보기")</f>
        <v>KC코트렐 차트보기</v>
      </c>
    </row>
    <row r="1870" spans="1:33" x14ac:dyDescent="0.3">
      <c r="A1870" t="s">
        <v>7507</v>
      </c>
      <c r="B1870" t="s">
        <v>55</v>
      </c>
      <c r="C1870" t="s">
        <v>7508</v>
      </c>
      <c r="D1870">
        <v>4901.8999999999996</v>
      </c>
      <c r="E1870" t="s">
        <v>7509</v>
      </c>
      <c r="F1870">
        <v>0</v>
      </c>
      <c r="G1870">
        <v>0.70999997854232788</v>
      </c>
      <c r="H1870">
        <v>0</v>
      </c>
      <c r="I1870">
        <v>0</v>
      </c>
      <c r="J1870" t="s">
        <v>7510</v>
      </c>
      <c r="K1870">
        <v>2330</v>
      </c>
      <c r="L1870">
        <v>1854</v>
      </c>
      <c r="M1870">
        <v>-20.43</v>
      </c>
      <c r="N1870">
        <v>2.4900000000000002</v>
      </c>
      <c r="O1870">
        <v>-2.82</v>
      </c>
      <c r="P1870">
        <v>-0.77</v>
      </c>
      <c r="Q1870">
        <v>-8.8000000000000007</v>
      </c>
      <c r="R1870">
        <v>-6.91</v>
      </c>
      <c r="S1870">
        <v>-3.52</v>
      </c>
      <c r="T1870">
        <v>0.69</v>
      </c>
      <c r="U1870">
        <v>1.55</v>
      </c>
      <c r="V1870">
        <v>1.49</v>
      </c>
      <c r="W1870">
        <v>1.56</v>
      </c>
      <c r="X1870">
        <v>1.1100000000000001</v>
      </c>
      <c r="Y1870">
        <v>1.04</v>
      </c>
      <c r="Z1870">
        <v>3.61</v>
      </c>
      <c r="AA1870">
        <v>1.82</v>
      </c>
      <c r="AB1870">
        <v>0.52</v>
      </c>
      <c r="AC1870">
        <v>5.64</v>
      </c>
      <c r="AD1870">
        <v>6.23</v>
      </c>
      <c r="AE1870">
        <v>3.38</v>
      </c>
      <c r="AF1870">
        <v>3.5333333333333332</v>
      </c>
      <c r="AG1870" t="str">
        <f>HYPERLINK("https://finance.naver.com/item/fchart.naver?code=221840", "하이즈항공 차트보기")</f>
        <v>하이즈항공 차트보기</v>
      </c>
    </row>
    <row r="1871" spans="1:33" x14ac:dyDescent="0.3">
      <c r="A1871" t="s">
        <v>7511</v>
      </c>
      <c r="B1871" t="s">
        <v>55</v>
      </c>
      <c r="C1871" t="s">
        <v>7512</v>
      </c>
      <c r="D1871">
        <v>211416.86</v>
      </c>
      <c r="E1871" t="s">
        <v>7513</v>
      </c>
      <c r="F1871">
        <v>10.45</v>
      </c>
      <c r="G1871">
        <v>1.3999999761581421</v>
      </c>
      <c r="H1871">
        <v>1813</v>
      </c>
      <c r="I1871">
        <v>1.059999942779541</v>
      </c>
      <c r="J1871" t="s">
        <v>7514</v>
      </c>
      <c r="K1871">
        <v>31250</v>
      </c>
      <c r="L1871">
        <v>18950</v>
      </c>
      <c r="M1871">
        <v>-39.36</v>
      </c>
      <c r="N1871">
        <v>-8.67</v>
      </c>
      <c r="O1871">
        <v>-8.3699999999999992</v>
      </c>
      <c r="P1871">
        <v>-8.9600000000000009</v>
      </c>
      <c r="Q1871">
        <v>-18.48</v>
      </c>
      <c r="R1871">
        <v>-13.28</v>
      </c>
      <c r="S1871">
        <v>14.62</v>
      </c>
      <c r="T1871">
        <v>2.61</v>
      </c>
      <c r="U1871">
        <v>2.67</v>
      </c>
      <c r="V1871">
        <v>3.1</v>
      </c>
      <c r="W1871">
        <v>4.38</v>
      </c>
      <c r="X1871">
        <v>3.82</v>
      </c>
      <c r="Y1871">
        <v>3.5</v>
      </c>
      <c r="Z1871">
        <v>3.32</v>
      </c>
      <c r="AA1871">
        <v>3.13</v>
      </c>
      <c r="AB1871">
        <v>2.89</v>
      </c>
      <c r="AC1871">
        <v>4.22</v>
      </c>
      <c r="AD1871">
        <v>3.48</v>
      </c>
      <c r="AE1871">
        <v>4.18</v>
      </c>
      <c r="AF1871">
        <v>3.5366666666666671</v>
      </c>
      <c r="AG1871" t="str">
        <f>HYPERLINK("https://finance.naver.com/item/fchart.naver?code=319660", "피에스케이 차트보기")</f>
        <v>피에스케이 차트보기</v>
      </c>
    </row>
    <row r="1872" spans="1:33" x14ac:dyDescent="0.3">
      <c r="A1872" t="s">
        <v>7515</v>
      </c>
      <c r="B1872" t="s">
        <v>34</v>
      </c>
      <c r="C1872" t="s">
        <v>7516</v>
      </c>
      <c r="D1872">
        <v>1234931.3799999999</v>
      </c>
      <c r="E1872" t="s">
        <v>7517</v>
      </c>
      <c r="F1872">
        <v>7.02</v>
      </c>
      <c r="G1872">
        <v>0.54000002145767212</v>
      </c>
      <c r="H1872">
        <v>8048</v>
      </c>
      <c r="I1872">
        <v>3.720000028610229</v>
      </c>
      <c r="J1872" t="s">
        <v>7518</v>
      </c>
      <c r="K1872">
        <v>48150</v>
      </c>
      <c r="L1872">
        <v>56500</v>
      </c>
      <c r="M1872">
        <v>17.34</v>
      </c>
      <c r="N1872">
        <v>4.63</v>
      </c>
      <c r="O1872">
        <v>-8.23</v>
      </c>
      <c r="P1872">
        <v>-1.42</v>
      </c>
      <c r="Q1872">
        <v>-7.58</v>
      </c>
      <c r="R1872">
        <v>24.97</v>
      </c>
      <c r="S1872">
        <v>2.4500000000000002</v>
      </c>
      <c r="T1872">
        <v>2.2200000000000002</v>
      </c>
      <c r="U1872">
        <v>2.23</v>
      </c>
      <c r="V1872">
        <v>3.04</v>
      </c>
      <c r="W1872">
        <v>2.74</v>
      </c>
      <c r="X1872">
        <v>2.29</v>
      </c>
      <c r="Y1872">
        <v>1.88</v>
      </c>
      <c r="Z1872">
        <v>2.09</v>
      </c>
      <c r="AA1872">
        <v>3.69</v>
      </c>
      <c r="AB1872">
        <v>0.47</v>
      </c>
      <c r="AC1872">
        <v>2.77</v>
      </c>
      <c r="AD1872">
        <v>10.9</v>
      </c>
      <c r="AE1872">
        <v>1.3</v>
      </c>
      <c r="AF1872">
        <v>3.5366666666666671</v>
      </c>
      <c r="AG1872" t="str">
        <f>HYPERLINK("https://finance.naver.com/item/fchart.naver?code=055550", "신한지주 차트보기")</f>
        <v>신한지주 차트보기</v>
      </c>
    </row>
    <row r="1873" spans="1:33" x14ac:dyDescent="0.3">
      <c r="A1873" t="s">
        <v>7519</v>
      </c>
      <c r="B1873" t="s">
        <v>34</v>
      </c>
      <c r="C1873" t="s">
        <v>7520</v>
      </c>
      <c r="D1873">
        <v>32747.86</v>
      </c>
      <c r="E1873" t="s">
        <v>7521</v>
      </c>
      <c r="F1873">
        <v>43.22</v>
      </c>
      <c r="G1873">
        <v>0.30000001192092901</v>
      </c>
      <c r="H1873">
        <v>59</v>
      </c>
      <c r="I1873">
        <v>4.7100000381469727</v>
      </c>
      <c r="J1873" t="s">
        <v>7522</v>
      </c>
      <c r="K1873">
        <v>3015</v>
      </c>
      <c r="L1873">
        <v>2550</v>
      </c>
      <c r="M1873">
        <v>-15.42</v>
      </c>
      <c r="N1873">
        <v>-0.78</v>
      </c>
      <c r="O1873">
        <v>-2.09</v>
      </c>
      <c r="P1873">
        <v>-3.18</v>
      </c>
      <c r="Q1873">
        <v>-0.56000000000000005</v>
      </c>
      <c r="R1873">
        <v>-7.39</v>
      </c>
      <c r="S1873">
        <v>-2.5</v>
      </c>
      <c r="T1873">
        <v>0.85</v>
      </c>
      <c r="U1873">
        <v>0.79</v>
      </c>
      <c r="V1873">
        <v>1.29</v>
      </c>
      <c r="W1873">
        <v>2.0299999999999998</v>
      </c>
      <c r="X1873">
        <v>0.79</v>
      </c>
      <c r="Y1873">
        <v>0.45</v>
      </c>
      <c r="Z1873">
        <v>0.92</v>
      </c>
      <c r="AA1873">
        <v>2.65</v>
      </c>
      <c r="AB1873">
        <v>2.4700000000000002</v>
      </c>
      <c r="AC1873">
        <v>0.28000000000000003</v>
      </c>
      <c r="AD1873">
        <v>9.35</v>
      </c>
      <c r="AE1873">
        <v>5.56</v>
      </c>
      <c r="AF1873">
        <v>3.538333333333334</v>
      </c>
      <c r="AG1873" t="str">
        <f>HYPERLINK("https://finance.naver.com/item/fchart.naver?code=092440", "기신정기 차트보기")</f>
        <v>기신정기 차트보기</v>
      </c>
    </row>
    <row r="1874" spans="1:33" x14ac:dyDescent="0.3">
      <c r="A1874" t="s">
        <v>7523</v>
      </c>
      <c r="B1874" t="s">
        <v>55</v>
      </c>
      <c r="C1874" t="s">
        <v>7524</v>
      </c>
      <c r="D1874">
        <v>30307.33</v>
      </c>
      <c r="E1874" t="s">
        <v>7525</v>
      </c>
      <c r="J1874" t="s">
        <v>7526</v>
      </c>
      <c r="K1874">
        <v>5650</v>
      </c>
      <c r="L1874">
        <v>3750</v>
      </c>
      <c r="M1874">
        <v>-33.630000000000003</v>
      </c>
      <c r="N1874">
        <v>-9.64</v>
      </c>
      <c r="O1874">
        <v>-8.74</v>
      </c>
      <c r="P1874">
        <v>1.2</v>
      </c>
      <c r="Q1874">
        <v>-14.67</v>
      </c>
      <c r="R1874">
        <v>2.1800000000000002</v>
      </c>
      <c r="S1874">
        <v>3.63</v>
      </c>
      <c r="T1874">
        <v>1.44</v>
      </c>
      <c r="U1874">
        <v>1.75</v>
      </c>
      <c r="V1874">
        <v>2.09</v>
      </c>
      <c r="W1874">
        <v>2.39</v>
      </c>
      <c r="X1874">
        <v>1.71</v>
      </c>
      <c r="Y1874">
        <v>2.2999999999999998</v>
      </c>
      <c r="Z1874">
        <v>6.69</v>
      </c>
      <c r="AA1874">
        <v>4.99</v>
      </c>
      <c r="AB1874">
        <v>0.56999999999999995</v>
      </c>
      <c r="AC1874">
        <v>6.14</v>
      </c>
      <c r="AD1874">
        <v>1.27</v>
      </c>
      <c r="AE1874">
        <v>1.58</v>
      </c>
      <c r="AF1874">
        <v>3.54</v>
      </c>
      <c r="AG1874" t="str">
        <f>HYPERLINK("https://finance.naver.com/item/fchart.naver?code=950170", "JTC 차트보기")</f>
        <v>JTC 차트보기</v>
      </c>
    </row>
    <row r="1875" spans="1:33" x14ac:dyDescent="0.3">
      <c r="A1875" t="s">
        <v>7527</v>
      </c>
      <c r="B1875" t="s">
        <v>55</v>
      </c>
      <c r="C1875" t="s">
        <v>7528</v>
      </c>
      <c r="D1875">
        <v>17902.95</v>
      </c>
      <c r="E1875" t="s">
        <v>7529</v>
      </c>
      <c r="F1875">
        <v>0</v>
      </c>
      <c r="G1875">
        <v>3.7599999904632568</v>
      </c>
      <c r="H1875">
        <v>0</v>
      </c>
      <c r="I1875">
        <v>0</v>
      </c>
      <c r="J1875" t="s">
        <v>7530</v>
      </c>
      <c r="K1875">
        <v>18480</v>
      </c>
      <c r="L1875">
        <v>16740</v>
      </c>
      <c r="M1875">
        <v>-9.42</v>
      </c>
      <c r="N1875">
        <v>-9.02</v>
      </c>
      <c r="O1875">
        <v>-4.63</v>
      </c>
      <c r="P1875">
        <v>5.14</v>
      </c>
      <c r="Q1875">
        <v>13.96</v>
      </c>
      <c r="R1875">
        <v>-5.15</v>
      </c>
      <c r="S1875">
        <v>1.54</v>
      </c>
      <c r="T1875">
        <v>1.31</v>
      </c>
      <c r="U1875">
        <v>1.36</v>
      </c>
      <c r="V1875">
        <v>1.58</v>
      </c>
      <c r="W1875">
        <v>3.4</v>
      </c>
      <c r="X1875">
        <v>1.77</v>
      </c>
      <c r="Y1875">
        <v>2.2200000000000002</v>
      </c>
      <c r="Z1875">
        <v>6.89</v>
      </c>
      <c r="AA1875">
        <v>3.4</v>
      </c>
      <c r="AB1875">
        <v>3.25</v>
      </c>
      <c r="AC1875">
        <v>4.1100000000000003</v>
      </c>
      <c r="AD1875">
        <v>2.91</v>
      </c>
      <c r="AE1875">
        <v>0.69</v>
      </c>
      <c r="AF1875">
        <v>3.541666666666667</v>
      </c>
      <c r="AG1875" t="str">
        <f>HYPERLINK("https://finance.naver.com/item/fchart.naver?code=317870", "엔바이오니아 차트보기")</f>
        <v>엔바이오니아 차트보기</v>
      </c>
    </row>
    <row r="1876" spans="1:33" x14ac:dyDescent="0.3">
      <c r="A1876" t="s">
        <v>7531</v>
      </c>
      <c r="B1876" t="s">
        <v>55</v>
      </c>
      <c r="C1876" t="s">
        <v>7532</v>
      </c>
      <c r="D1876">
        <v>38452.050000000003</v>
      </c>
      <c r="E1876" t="s">
        <v>7533</v>
      </c>
      <c r="F1876">
        <v>0</v>
      </c>
      <c r="G1876">
        <v>0.43000000715255737</v>
      </c>
      <c r="H1876">
        <v>0</v>
      </c>
      <c r="I1876">
        <v>0</v>
      </c>
      <c r="J1876" t="s">
        <v>7534</v>
      </c>
      <c r="K1876">
        <v>1999</v>
      </c>
      <c r="L1876">
        <v>1393</v>
      </c>
      <c r="M1876">
        <v>-30.32</v>
      </c>
      <c r="N1876">
        <v>-4.8499999999999996</v>
      </c>
      <c r="O1876">
        <v>-7.19</v>
      </c>
      <c r="P1876">
        <v>-5.23</v>
      </c>
      <c r="Q1876">
        <v>-6.2</v>
      </c>
      <c r="R1876">
        <v>-3.63</v>
      </c>
      <c r="S1876">
        <v>-14.36</v>
      </c>
      <c r="T1876">
        <v>1.92</v>
      </c>
      <c r="U1876">
        <v>1.0900000000000001</v>
      </c>
      <c r="V1876">
        <v>1.94</v>
      </c>
      <c r="W1876">
        <v>2.98</v>
      </c>
      <c r="X1876">
        <v>3.73</v>
      </c>
      <c r="Y1876">
        <v>2.25</v>
      </c>
      <c r="Z1876">
        <v>2.5299999999999998</v>
      </c>
      <c r="AA1876">
        <v>6.6</v>
      </c>
      <c r="AB1876">
        <v>2.7</v>
      </c>
      <c r="AC1876">
        <v>2.08</v>
      </c>
      <c r="AD1876">
        <v>0.97</v>
      </c>
      <c r="AE1876">
        <v>6.38</v>
      </c>
      <c r="AF1876">
        <v>3.543333333333333</v>
      </c>
      <c r="AG1876" t="str">
        <f>HYPERLINK("https://finance.naver.com/item/fchart.naver?code=095910", "에스에너지 차트보기")</f>
        <v>에스에너지 차트보기</v>
      </c>
    </row>
    <row r="1877" spans="1:33" x14ac:dyDescent="0.3">
      <c r="A1877" t="s">
        <v>7535</v>
      </c>
      <c r="B1877" t="s">
        <v>55</v>
      </c>
      <c r="C1877" t="s">
        <v>7536</v>
      </c>
      <c r="D1877">
        <v>185056.76</v>
      </c>
      <c r="E1877" t="s">
        <v>7537</v>
      </c>
      <c r="F1877">
        <v>0</v>
      </c>
      <c r="G1877">
        <v>8.5500001907348633</v>
      </c>
      <c r="H1877">
        <v>0</v>
      </c>
      <c r="I1877">
        <v>0</v>
      </c>
      <c r="J1877" t="s">
        <v>7538</v>
      </c>
      <c r="K1877">
        <v>24550</v>
      </c>
      <c r="L1877">
        <v>10000</v>
      </c>
      <c r="M1877">
        <v>-59.27</v>
      </c>
      <c r="N1877">
        <v>0.1</v>
      </c>
      <c r="O1877">
        <v>-12.2</v>
      </c>
      <c r="P1877">
        <v>-20.13</v>
      </c>
      <c r="Q1877">
        <v>27.15</v>
      </c>
      <c r="R1877">
        <v>-34.840000000000003</v>
      </c>
      <c r="S1877">
        <v>-21.79</v>
      </c>
      <c r="T1877">
        <v>2.89</v>
      </c>
      <c r="U1877">
        <v>3.06</v>
      </c>
      <c r="V1877">
        <v>5.27</v>
      </c>
      <c r="W1877">
        <v>8.91</v>
      </c>
      <c r="X1877">
        <v>5.12</v>
      </c>
      <c r="Y1877">
        <v>6.04</v>
      </c>
      <c r="Z1877">
        <v>0.03</v>
      </c>
      <c r="AA1877">
        <v>3.99</v>
      </c>
      <c r="AB1877">
        <v>3.82</v>
      </c>
      <c r="AC1877">
        <v>3.05</v>
      </c>
      <c r="AD1877">
        <v>6.8</v>
      </c>
      <c r="AE1877">
        <v>3.61</v>
      </c>
      <c r="AF1877">
        <v>3.55</v>
      </c>
      <c r="AG1877" t="str">
        <f>HYPERLINK("https://finance.naver.com/item/fchart.naver?code=462510", "라메디텍 차트보기")</f>
        <v>라메디텍 차트보기</v>
      </c>
    </row>
    <row r="1878" spans="1:33" x14ac:dyDescent="0.3">
      <c r="A1878" t="s">
        <v>7539</v>
      </c>
      <c r="B1878" t="s">
        <v>34</v>
      </c>
      <c r="C1878" t="s">
        <v>7540</v>
      </c>
      <c r="D1878">
        <v>2837.71</v>
      </c>
      <c r="E1878" t="s">
        <v>7541</v>
      </c>
      <c r="F1878">
        <v>0</v>
      </c>
      <c r="G1878">
        <v>0</v>
      </c>
      <c r="H1878">
        <v>0</v>
      </c>
      <c r="I1878">
        <v>0</v>
      </c>
      <c r="J1878" t="s">
        <v>7542</v>
      </c>
      <c r="K1878">
        <v>9300</v>
      </c>
      <c r="L1878">
        <v>8020</v>
      </c>
      <c r="M1878">
        <v>-13.76</v>
      </c>
      <c r="N1878">
        <v>-2.67</v>
      </c>
      <c r="O1878">
        <v>-11.67</v>
      </c>
      <c r="P1878">
        <v>-2.17</v>
      </c>
      <c r="Q1878">
        <v>-4.51</v>
      </c>
      <c r="R1878">
        <v>-3.45</v>
      </c>
      <c r="S1878">
        <v>-13.75</v>
      </c>
      <c r="T1878">
        <v>1.1499999999999999</v>
      </c>
      <c r="U1878">
        <v>1.3</v>
      </c>
      <c r="V1878">
        <v>1.04</v>
      </c>
      <c r="W1878">
        <v>3.11</v>
      </c>
      <c r="X1878">
        <v>2.12</v>
      </c>
      <c r="Y1878">
        <v>2.84</v>
      </c>
      <c r="Z1878">
        <v>2.3199999999999998</v>
      </c>
      <c r="AA1878">
        <v>8.98</v>
      </c>
      <c r="AB1878">
        <v>2.09</v>
      </c>
      <c r="AC1878">
        <v>1.45</v>
      </c>
      <c r="AD1878">
        <v>1.63</v>
      </c>
      <c r="AE1878">
        <v>4.84</v>
      </c>
      <c r="AF1878">
        <v>3.5516666666666659</v>
      </c>
      <c r="AG1878" t="str">
        <f>HYPERLINK("https://finance.naver.com/item/fchart.naver?code=33626L", "두산퓨얼셀2우B 차트보기")</f>
        <v>두산퓨얼셀2우B 차트보기</v>
      </c>
    </row>
    <row r="1879" spans="1:33" x14ac:dyDescent="0.3">
      <c r="A1879" t="s">
        <v>7543</v>
      </c>
      <c r="B1879" t="s">
        <v>55</v>
      </c>
      <c r="C1879" t="s">
        <v>7544</v>
      </c>
      <c r="D1879">
        <v>73116.479999999996</v>
      </c>
      <c r="E1879" t="s">
        <v>7545</v>
      </c>
      <c r="F1879">
        <v>0</v>
      </c>
      <c r="G1879">
        <v>6.0799999237060547</v>
      </c>
      <c r="H1879">
        <v>0</v>
      </c>
      <c r="I1879">
        <v>0</v>
      </c>
      <c r="J1879" t="s">
        <v>7546</v>
      </c>
      <c r="K1879">
        <v>64600</v>
      </c>
      <c r="L1879">
        <v>49900</v>
      </c>
      <c r="M1879">
        <v>-22.76</v>
      </c>
      <c r="N1879">
        <v>18.25</v>
      </c>
      <c r="O1879">
        <v>-13.6</v>
      </c>
      <c r="P1879">
        <v>9.11</v>
      </c>
      <c r="Q1879">
        <v>8.8800000000000008</v>
      </c>
      <c r="R1879">
        <v>-14.79</v>
      </c>
      <c r="S1879">
        <v>-16.09</v>
      </c>
      <c r="T1879">
        <v>3.26</v>
      </c>
      <c r="U1879">
        <v>3.42</v>
      </c>
      <c r="V1879">
        <v>4.32</v>
      </c>
      <c r="W1879">
        <v>6.67</v>
      </c>
      <c r="X1879">
        <v>2.86</v>
      </c>
      <c r="Y1879">
        <v>5.15</v>
      </c>
      <c r="Z1879">
        <v>5.6</v>
      </c>
      <c r="AA1879">
        <v>3.98</v>
      </c>
      <c r="AB1879">
        <v>2.11</v>
      </c>
      <c r="AC1879">
        <v>1.33</v>
      </c>
      <c r="AD1879">
        <v>5.17</v>
      </c>
      <c r="AE1879">
        <v>3.12</v>
      </c>
      <c r="AF1879">
        <v>3.5516666666666659</v>
      </c>
      <c r="AG1879" t="str">
        <f>HYPERLINK("https://finance.naver.com/item/fchart.naver?code=171090", "선익시스템 차트보기")</f>
        <v>선익시스템 차트보기</v>
      </c>
    </row>
    <row r="1880" spans="1:33" x14ac:dyDescent="0.3">
      <c r="A1880" t="s">
        <v>7547</v>
      </c>
      <c r="B1880" t="s">
        <v>34</v>
      </c>
      <c r="C1880" t="s">
        <v>7548</v>
      </c>
      <c r="D1880">
        <v>417169.19</v>
      </c>
      <c r="E1880" t="s">
        <v>7549</v>
      </c>
      <c r="J1880" t="s">
        <v>7550</v>
      </c>
      <c r="K1880">
        <v>4175</v>
      </c>
      <c r="L1880">
        <v>2960</v>
      </c>
      <c r="M1880">
        <v>-29.1</v>
      </c>
      <c r="N1880">
        <v>-3.58</v>
      </c>
      <c r="O1880">
        <v>-8.3800000000000008</v>
      </c>
      <c r="P1880">
        <v>-2.88</v>
      </c>
      <c r="Q1880">
        <v>-8.5399999999999991</v>
      </c>
      <c r="R1880">
        <v>0.25</v>
      </c>
      <c r="S1880">
        <v>-3.4</v>
      </c>
      <c r="T1880">
        <v>0.99</v>
      </c>
      <c r="U1880">
        <v>1.85</v>
      </c>
      <c r="V1880">
        <v>0.72</v>
      </c>
      <c r="W1880">
        <v>1.77</v>
      </c>
      <c r="X1880">
        <v>1.01</v>
      </c>
      <c r="Y1880">
        <v>0.83</v>
      </c>
      <c r="Z1880">
        <v>3.62</v>
      </c>
      <c r="AA1880">
        <v>4.53</v>
      </c>
      <c r="AB1880">
        <v>4</v>
      </c>
      <c r="AC1880">
        <v>4.82</v>
      </c>
      <c r="AD1880">
        <v>0.25</v>
      </c>
      <c r="AE1880">
        <v>4.0999999999999996</v>
      </c>
      <c r="AF1880">
        <v>3.5533333333333328</v>
      </c>
      <c r="AG1880" t="str">
        <f>HYPERLINK("https://finance.naver.com/item/fchart.naver?code=348950", "제이알글로벌리츠 차트보기")</f>
        <v>제이알글로벌리츠 차트보기</v>
      </c>
    </row>
    <row r="1881" spans="1:33" x14ac:dyDescent="0.3">
      <c r="A1881" t="s">
        <v>7551</v>
      </c>
      <c r="B1881" t="s">
        <v>55</v>
      </c>
      <c r="C1881" t="s">
        <v>7552</v>
      </c>
      <c r="D1881">
        <v>214848.52</v>
      </c>
      <c r="E1881" t="s">
        <v>7553</v>
      </c>
      <c r="F1881">
        <v>145.25</v>
      </c>
      <c r="G1881">
        <v>1.059999942779541</v>
      </c>
      <c r="H1881">
        <v>8</v>
      </c>
      <c r="I1881">
        <v>0</v>
      </c>
      <c r="J1881" t="s">
        <v>7554</v>
      </c>
      <c r="K1881">
        <v>1818</v>
      </c>
      <c r="L1881">
        <v>1162</v>
      </c>
      <c r="M1881">
        <v>-36.08</v>
      </c>
      <c r="N1881">
        <v>-2.76</v>
      </c>
      <c r="O1881">
        <v>-6.71</v>
      </c>
      <c r="P1881">
        <v>-3.07</v>
      </c>
      <c r="Q1881">
        <v>-12.64</v>
      </c>
      <c r="R1881">
        <v>-10.8</v>
      </c>
      <c r="S1881">
        <v>-5.84</v>
      </c>
      <c r="T1881">
        <v>2.36</v>
      </c>
      <c r="U1881">
        <v>1.72</v>
      </c>
      <c r="V1881">
        <v>2.0499999999999998</v>
      </c>
      <c r="W1881">
        <v>3.89</v>
      </c>
      <c r="X1881">
        <v>1.69</v>
      </c>
      <c r="Y1881">
        <v>1.1399999999999999</v>
      </c>
      <c r="Z1881">
        <v>1.17</v>
      </c>
      <c r="AA1881">
        <v>3.9</v>
      </c>
      <c r="AB1881">
        <v>1.5</v>
      </c>
      <c r="AC1881">
        <v>3.25</v>
      </c>
      <c r="AD1881">
        <v>6.39</v>
      </c>
      <c r="AE1881">
        <v>5.12</v>
      </c>
      <c r="AF1881">
        <v>3.5550000000000002</v>
      </c>
      <c r="AG1881" t="str">
        <f>HYPERLINK("https://finance.naver.com/item/fchart.naver?code=027580", "상보 차트보기")</f>
        <v>상보 차트보기</v>
      </c>
    </row>
    <row r="1882" spans="1:33" x14ac:dyDescent="0.3">
      <c r="A1882" t="s">
        <v>7555</v>
      </c>
      <c r="B1882" t="s">
        <v>55</v>
      </c>
      <c r="C1882" t="s">
        <v>7556</v>
      </c>
      <c r="D1882">
        <v>20467.86</v>
      </c>
      <c r="E1882" t="s">
        <v>7557</v>
      </c>
      <c r="F1882">
        <v>0</v>
      </c>
      <c r="G1882">
        <v>0.77999997138977051</v>
      </c>
      <c r="H1882">
        <v>0</v>
      </c>
      <c r="I1882">
        <v>1.120000004768372</v>
      </c>
      <c r="J1882" t="s">
        <v>7558</v>
      </c>
      <c r="K1882">
        <v>3480</v>
      </c>
      <c r="L1882">
        <v>2225</v>
      </c>
      <c r="M1882">
        <v>-36.06</v>
      </c>
      <c r="N1882">
        <v>-7.1</v>
      </c>
      <c r="O1882">
        <v>-11.88</v>
      </c>
      <c r="P1882">
        <v>-3.97</v>
      </c>
      <c r="Q1882">
        <v>-7.28</v>
      </c>
      <c r="R1882">
        <v>-4.41</v>
      </c>
      <c r="S1882">
        <v>-4.28</v>
      </c>
      <c r="T1882">
        <v>2.68</v>
      </c>
      <c r="U1882">
        <v>1.9</v>
      </c>
      <c r="V1882">
        <v>1.95</v>
      </c>
      <c r="W1882">
        <v>3.74</v>
      </c>
      <c r="X1882">
        <v>0.89</v>
      </c>
      <c r="Y1882">
        <v>1.23</v>
      </c>
      <c r="Z1882">
        <v>2.65</v>
      </c>
      <c r="AA1882">
        <v>6.25</v>
      </c>
      <c r="AB1882">
        <v>2.04</v>
      </c>
      <c r="AC1882">
        <v>1.95</v>
      </c>
      <c r="AD1882">
        <v>4.96</v>
      </c>
      <c r="AE1882">
        <v>3.48</v>
      </c>
      <c r="AF1882">
        <v>3.5550000000000002</v>
      </c>
      <c r="AG1882" t="str">
        <f>HYPERLINK("https://finance.naver.com/item/fchart.naver?code=048770", "TPC 차트보기")</f>
        <v>TPC 차트보기</v>
      </c>
    </row>
    <row r="1883" spans="1:33" x14ac:dyDescent="0.3">
      <c r="A1883" t="s">
        <v>7559</v>
      </c>
      <c r="B1883" t="s">
        <v>55</v>
      </c>
      <c r="C1883" t="s">
        <v>7560</v>
      </c>
      <c r="D1883">
        <v>96649</v>
      </c>
      <c r="E1883" t="s">
        <v>7561</v>
      </c>
      <c r="F1883">
        <v>0</v>
      </c>
      <c r="G1883">
        <v>1.620000004768372</v>
      </c>
      <c r="H1883">
        <v>0</v>
      </c>
      <c r="I1883">
        <v>0</v>
      </c>
      <c r="J1883" t="s">
        <v>7562</v>
      </c>
      <c r="K1883">
        <v>16490</v>
      </c>
      <c r="L1883">
        <v>8450</v>
      </c>
      <c r="M1883">
        <v>-48.76</v>
      </c>
      <c r="N1883">
        <v>0.48</v>
      </c>
      <c r="O1883">
        <v>-5.69</v>
      </c>
      <c r="P1883">
        <v>-9.89</v>
      </c>
      <c r="Q1883">
        <v>-13.79</v>
      </c>
      <c r="R1883">
        <v>-28.29</v>
      </c>
      <c r="S1883">
        <v>9.89</v>
      </c>
      <c r="T1883">
        <v>4.01</v>
      </c>
      <c r="U1883">
        <v>2.27</v>
      </c>
      <c r="V1883">
        <v>3.38</v>
      </c>
      <c r="W1883">
        <v>2.83</v>
      </c>
      <c r="X1883">
        <v>3.02</v>
      </c>
      <c r="Y1883">
        <v>6.43</v>
      </c>
      <c r="Z1883">
        <v>0.12</v>
      </c>
      <c r="AA1883">
        <v>2.5099999999999998</v>
      </c>
      <c r="AB1883">
        <v>2.93</v>
      </c>
      <c r="AC1883">
        <v>4.87</v>
      </c>
      <c r="AD1883">
        <v>9.3699999999999992</v>
      </c>
      <c r="AE1883">
        <v>1.54</v>
      </c>
      <c r="AF1883">
        <v>3.5566666666666662</v>
      </c>
      <c r="AG1883" t="str">
        <f>HYPERLINK("https://finance.naver.com/item/fchart.naver?code=089970", "브이엠 차트보기")</f>
        <v>브이엠 차트보기</v>
      </c>
    </row>
    <row r="1884" spans="1:33" x14ac:dyDescent="0.3">
      <c r="A1884" t="s">
        <v>7563</v>
      </c>
      <c r="B1884" t="s">
        <v>55</v>
      </c>
      <c r="C1884" t="s">
        <v>7564</v>
      </c>
      <c r="D1884">
        <v>589066.43000000005</v>
      </c>
      <c r="E1884" t="s">
        <v>7565</v>
      </c>
      <c r="F1884">
        <v>27.35</v>
      </c>
      <c r="G1884">
        <v>1.929999947547913</v>
      </c>
      <c r="H1884">
        <v>328</v>
      </c>
      <c r="I1884">
        <v>1.559999942779541</v>
      </c>
      <c r="J1884" t="s">
        <v>7566</v>
      </c>
      <c r="K1884">
        <v>15350</v>
      </c>
      <c r="L1884">
        <v>8970</v>
      </c>
      <c r="M1884">
        <v>-41.56</v>
      </c>
      <c r="N1884">
        <v>-18.45</v>
      </c>
      <c r="O1884">
        <v>4.87</v>
      </c>
      <c r="P1884">
        <v>1.54</v>
      </c>
      <c r="Q1884">
        <v>-7.41</v>
      </c>
      <c r="R1884">
        <v>-10.92</v>
      </c>
      <c r="S1884">
        <v>-8.5399999999999991</v>
      </c>
      <c r="T1884">
        <v>2.33</v>
      </c>
      <c r="U1884">
        <v>2.3199999999999998</v>
      </c>
      <c r="V1884">
        <v>2.5099999999999998</v>
      </c>
      <c r="W1884">
        <v>3.36</v>
      </c>
      <c r="X1884">
        <v>2.7</v>
      </c>
      <c r="Y1884">
        <v>1.91</v>
      </c>
      <c r="Z1884">
        <v>7.92</v>
      </c>
      <c r="AA1884">
        <v>2.1</v>
      </c>
      <c r="AB1884">
        <v>0.61</v>
      </c>
      <c r="AC1884">
        <v>2.21</v>
      </c>
      <c r="AD1884">
        <v>4.04</v>
      </c>
      <c r="AE1884">
        <v>4.47</v>
      </c>
      <c r="AF1884">
        <v>3.5583333333333331</v>
      </c>
      <c r="AG1884" t="str">
        <f>HYPERLINK("https://finance.naver.com/item/fchart.naver?code=098460", "고영 차트보기")</f>
        <v>고영 차트보기</v>
      </c>
    </row>
    <row r="1885" spans="1:33" x14ac:dyDescent="0.3">
      <c r="A1885" t="s">
        <v>7567</v>
      </c>
      <c r="B1885" t="s">
        <v>34</v>
      </c>
      <c r="C1885" t="s">
        <v>7568</v>
      </c>
      <c r="D1885">
        <v>268723.33</v>
      </c>
      <c r="E1885" t="s">
        <v>7569</v>
      </c>
      <c r="F1885">
        <v>0</v>
      </c>
      <c r="G1885">
        <v>0.98000001907348633</v>
      </c>
      <c r="H1885">
        <v>0</v>
      </c>
      <c r="I1885">
        <v>0</v>
      </c>
      <c r="J1885" t="s">
        <v>7570</v>
      </c>
      <c r="K1885">
        <v>1911</v>
      </c>
      <c r="L1885">
        <v>1470</v>
      </c>
      <c r="M1885">
        <v>-23.08</v>
      </c>
      <c r="N1885">
        <v>-3.48</v>
      </c>
      <c r="O1885">
        <v>12.47</v>
      </c>
      <c r="P1885">
        <v>-3.55</v>
      </c>
      <c r="Q1885">
        <v>-12.26</v>
      </c>
      <c r="R1885">
        <v>-6.54</v>
      </c>
      <c r="S1885">
        <v>-6.69</v>
      </c>
      <c r="T1885">
        <v>0.83</v>
      </c>
      <c r="U1885">
        <v>3.02</v>
      </c>
      <c r="V1885">
        <v>3.44</v>
      </c>
      <c r="W1885">
        <v>2.62</v>
      </c>
      <c r="X1885">
        <v>1.21</v>
      </c>
      <c r="Y1885">
        <v>3.49</v>
      </c>
      <c r="Z1885">
        <v>4.1900000000000004</v>
      </c>
      <c r="AA1885">
        <v>4.13</v>
      </c>
      <c r="AB1885">
        <v>1.03</v>
      </c>
      <c r="AC1885">
        <v>4.68</v>
      </c>
      <c r="AD1885">
        <v>5.4</v>
      </c>
      <c r="AE1885">
        <v>1.92</v>
      </c>
      <c r="AF1885">
        <v>3.558333333333334</v>
      </c>
      <c r="AG1885" t="str">
        <f>HYPERLINK("https://finance.naver.com/item/fchart.naver?code=011330", "유니켐 차트보기")</f>
        <v>유니켐 차트보기</v>
      </c>
    </row>
    <row r="1886" spans="1:33" x14ac:dyDescent="0.3">
      <c r="A1886" t="s">
        <v>7571</v>
      </c>
      <c r="B1886" t="s">
        <v>34</v>
      </c>
      <c r="C1886" t="s">
        <v>7572</v>
      </c>
      <c r="D1886">
        <v>68713.48</v>
      </c>
      <c r="E1886" t="s">
        <v>7573</v>
      </c>
      <c r="F1886">
        <v>0</v>
      </c>
      <c r="G1886">
        <v>0</v>
      </c>
      <c r="H1886">
        <v>0</v>
      </c>
      <c r="I1886">
        <v>7.309999942779541</v>
      </c>
      <c r="J1886" t="s">
        <v>7574</v>
      </c>
      <c r="K1886">
        <v>155900</v>
      </c>
      <c r="L1886">
        <v>156700</v>
      </c>
      <c r="M1886">
        <v>0.51</v>
      </c>
      <c r="N1886">
        <v>-1.38</v>
      </c>
      <c r="O1886">
        <v>-6.48</v>
      </c>
      <c r="P1886">
        <v>-5.08</v>
      </c>
      <c r="Q1886">
        <v>8.81</v>
      </c>
      <c r="R1886">
        <v>-7.74</v>
      </c>
      <c r="S1886">
        <v>14.7</v>
      </c>
      <c r="T1886">
        <v>1.05</v>
      </c>
      <c r="U1886">
        <v>1.51</v>
      </c>
      <c r="V1886">
        <v>2.14</v>
      </c>
      <c r="W1886">
        <v>2.89</v>
      </c>
      <c r="X1886">
        <v>1.95</v>
      </c>
      <c r="Y1886">
        <v>2.31</v>
      </c>
      <c r="Z1886">
        <v>1.31</v>
      </c>
      <c r="AA1886">
        <v>4.29</v>
      </c>
      <c r="AB1886">
        <v>2.37</v>
      </c>
      <c r="AC1886">
        <v>3.05</v>
      </c>
      <c r="AD1886">
        <v>3.97</v>
      </c>
      <c r="AE1886">
        <v>6.36</v>
      </c>
      <c r="AF1886">
        <v>3.558333333333334</v>
      </c>
      <c r="AG1886" t="str">
        <f>HYPERLINK("https://finance.naver.com/item/fchart.naver?code=005385", "현대차우 차트보기")</f>
        <v>현대차우 차트보기</v>
      </c>
    </row>
    <row r="1887" spans="1:33" x14ac:dyDescent="0.3">
      <c r="A1887" t="s">
        <v>7575</v>
      </c>
      <c r="B1887" t="s">
        <v>55</v>
      </c>
      <c r="C1887" t="s">
        <v>7576</v>
      </c>
      <c r="D1887">
        <v>4204464.24</v>
      </c>
      <c r="E1887" t="s">
        <v>7577</v>
      </c>
      <c r="F1887">
        <v>0</v>
      </c>
      <c r="G1887">
        <v>3.9999999105930328E-2</v>
      </c>
      <c r="H1887">
        <v>0</v>
      </c>
      <c r="I1887">
        <v>0</v>
      </c>
      <c r="J1887" t="s">
        <v>7578</v>
      </c>
      <c r="K1887">
        <v>1792</v>
      </c>
      <c r="L1887">
        <v>109</v>
      </c>
      <c r="M1887">
        <v>-93.92</v>
      </c>
      <c r="N1887">
        <v>0</v>
      </c>
      <c r="O1887">
        <v>-60.54</v>
      </c>
      <c r="P1887">
        <v>-15.89</v>
      </c>
      <c r="Q1887">
        <v>-83.28</v>
      </c>
      <c r="R1887">
        <v>19.71</v>
      </c>
      <c r="S1887">
        <v>42.65</v>
      </c>
      <c r="T1887">
        <v>6.35</v>
      </c>
      <c r="U1887">
        <v>12.84</v>
      </c>
      <c r="V1887">
        <v>8.99</v>
      </c>
      <c r="W1887">
        <v>13.96</v>
      </c>
      <c r="X1887">
        <v>5.87</v>
      </c>
      <c r="Y1887">
        <v>7.68</v>
      </c>
      <c r="Z1887">
        <v>0</v>
      </c>
      <c r="AA1887">
        <v>4.71</v>
      </c>
      <c r="AB1887">
        <v>1.77</v>
      </c>
      <c r="AC1887">
        <v>5.97</v>
      </c>
      <c r="AD1887">
        <v>3.36</v>
      </c>
      <c r="AE1887">
        <v>5.55</v>
      </c>
      <c r="AF1887">
        <v>3.56</v>
      </c>
      <c r="AG1887" t="str">
        <f>HYPERLINK("https://finance.naver.com/item/fchart.naver?code=023460", "CNH 차트보기")</f>
        <v>CNH 차트보기</v>
      </c>
    </row>
    <row r="1888" spans="1:33" x14ac:dyDescent="0.3">
      <c r="A1888" t="s">
        <v>7579</v>
      </c>
      <c r="B1888" t="s">
        <v>55</v>
      </c>
      <c r="C1888" t="s">
        <v>7580</v>
      </c>
      <c r="D1888">
        <v>6175970.9500000002</v>
      </c>
      <c r="E1888" t="s">
        <v>7581</v>
      </c>
      <c r="F1888">
        <v>0</v>
      </c>
      <c r="G1888">
        <v>1.429999947547913</v>
      </c>
      <c r="H1888">
        <v>0</v>
      </c>
      <c r="I1888">
        <v>0</v>
      </c>
      <c r="J1888" t="s">
        <v>7582</v>
      </c>
      <c r="K1888">
        <v>3295</v>
      </c>
      <c r="L1888">
        <v>1776</v>
      </c>
      <c r="M1888">
        <v>-46.1</v>
      </c>
      <c r="N1888">
        <v>-17.97</v>
      </c>
      <c r="O1888">
        <v>36.07</v>
      </c>
      <c r="P1888">
        <v>-6.06</v>
      </c>
      <c r="Q1888">
        <v>-19.39</v>
      </c>
      <c r="R1888">
        <v>4.0599999999999996</v>
      </c>
      <c r="S1888">
        <v>-12.16</v>
      </c>
      <c r="T1888">
        <v>3.17</v>
      </c>
      <c r="U1888">
        <v>8.5</v>
      </c>
      <c r="V1888">
        <v>2.84</v>
      </c>
      <c r="W1888">
        <v>6.1</v>
      </c>
      <c r="X1888">
        <v>4.38</v>
      </c>
      <c r="Y1888">
        <v>2.33</v>
      </c>
      <c r="Z1888">
        <v>5.67</v>
      </c>
      <c r="AA1888">
        <v>4.24</v>
      </c>
      <c r="AB1888">
        <v>2.13</v>
      </c>
      <c r="AC1888">
        <v>3.18</v>
      </c>
      <c r="AD1888">
        <v>0.93</v>
      </c>
      <c r="AE1888">
        <v>5.22</v>
      </c>
      <c r="AF1888">
        <v>3.5616666666666661</v>
      </c>
      <c r="AG1888" t="str">
        <f>HYPERLINK("https://finance.naver.com/item/fchart.naver?code=363260", "모비데이즈 차트보기")</f>
        <v>모비데이즈 차트보기</v>
      </c>
    </row>
    <row r="1889" spans="1:33" x14ac:dyDescent="0.3">
      <c r="A1889" t="s">
        <v>7583</v>
      </c>
      <c r="B1889" t="s">
        <v>34</v>
      </c>
      <c r="C1889" t="s">
        <v>7584</v>
      </c>
      <c r="D1889">
        <v>105372.29</v>
      </c>
      <c r="E1889" t="s">
        <v>7585</v>
      </c>
      <c r="F1889">
        <v>12.06</v>
      </c>
      <c r="G1889">
        <v>0.33000001311302191</v>
      </c>
      <c r="H1889">
        <v>3432</v>
      </c>
      <c r="I1889">
        <v>2.0499999523162842</v>
      </c>
      <c r="J1889" t="s">
        <v>7586</v>
      </c>
      <c r="K1889">
        <v>57000</v>
      </c>
      <c r="L1889">
        <v>41400</v>
      </c>
      <c r="M1889">
        <v>-27.37</v>
      </c>
      <c r="N1889">
        <v>-0.96</v>
      </c>
      <c r="O1889">
        <v>-18.399999999999999</v>
      </c>
      <c r="P1889">
        <v>3</v>
      </c>
      <c r="Q1889">
        <v>-2.29</v>
      </c>
      <c r="R1889">
        <v>-9.93</v>
      </c>
      <c r="S1889">
        <v>3.21</v>
      </c>
      <c r="T1889">
        <v>0.75</v>
      </c>
      <c r="U1889">
        <v>2.19</v>
      </c>
      <c r="V1889">
        <v>1.87</v>
      </c>
      <c r="W1889">
        <v>2.75</v>
      </c>
      <c r="X1889">
        <v>1.32</v>
      </c>
      <c r="Y1889">
        <v>1.85</v>
      </c>
      <c r="Z1889">
        <v>1.28</v>
      </c>
      <c r="AA1889">
        <v>8.4</v>
      </c>
      <c r="AB1889">
        <v>1.6</v>
      </c>
      <c r="AC1889">
        <v>0.83</v>
      </c>
      <c r="AD1889">
        <v>7.52</v>
      </c>
      <c r="AE1889">
        <v>1.74</v>
      </c>
      <c r="AF1889">
        <v>3.5616666666666661</v>
      </c>
      <c r="AG1889" t="str">
        <f>HYPERLINK("https://finance.naver.com/item/fchart.naver?code=011210", "현대위아 차트보기")</f>
        <v>현대위아 차트보기</v>
      </c>
    </row>
    <row r="1890" spans="1:33" x14ac:dyDescent="0.3">
      <c r="A1890" t="s">
        <v>7587</v>
      </c>
      <c r="B1890" t="s">
        <v>55</v>
      </c>
      <c r="C1890" t="s">
        <v>7588</v>
      </c>
      <c r="D1890">
        <v>96662.95</v>
      </c>
      <c r="E1890" t="s">
        <v>7589</v>
      </c>
      <c r="F1890">
        <v>0</v>
      </c>
      <c r="G1890">
        <v>3.0199999809265141</v>
      </c>
      <c r="H1890">
        <v>0</v>
      </c>
      <c r="I1890">
        <v>0</v>
      </c>
      <c r="J1890" t="s">
        <v>7590</v>
      </c>
      <c r="K1890">
        <v>7070</v>
      </c>
      <c r="L1890">
        <v>6850</v>
      </c>
      <c r="M1890">
        <v>-3.11</v>
      </c>
      <c r="N1890">
        <v>1.93</v>
      </c>
      <c r="O1890">
        <v>-4.49</v>
      </c>
      <c r="P1890">
        <v>88.48</v>
      </c>
      <c r="Q1890">
        <v>8.56</v>
      </c>
      <c r="R1890">
        <v>-52</v>
      </c>
      <c r="S1890">
        <v>16.02</v>
      </c>
      <c r="T1890">
        <v>6.64</v>
      </c>
      <c r="U1890">
        <v>5.52</v>
      </c>
      <c r="V1890">
        <v>9.6300000000000008</v>
      </c>
      <c r="W1890">
        <v>8.81</v>
      </c>
      <c r="X1890">
        <v>8.02</v>
      </c>
      <c r="Y1890">
        <v>4.41</v>
      </c>
      <c r="Z1890">
        <v>0.28999999999999998</v>
      </c>
      <c r="AA1890">
        <v>0.81</v>
      </c>
      <c r="AB1890">
        <v>9.19</v>
      </c>
      <c r="AC1890">
        <v>0.97</v>
      </c>
      <c r="AD1890">
        <v>6.48</v>
      </c>
      <c r="AE1890">
        <v>3.63</v>
      </c>
      <c r="AF1890">
        <v>3.561666666666667</v>
      </c>
      <c r="AG1890" t="str">
        <f>HYPERLINK("https://finance.naver.com/item/fchart.naver?code=313760", "캐리 차트보기")</f>
        <v>캐리 차트보기</v>
      </c>
    </row>
    <row r="1891" spans="1:33" x14ac:dyDescent="0.3">
      <c r="A1891" t="s">
        <v>7591</v>
      </c>
      <c r="B1891" t="s">
        <v>55</v>
      </c>
      <c r="C1891" t="s">
        <v>7592</v>
      </c>
      <c r="D1891">
        <v>2077.9499999999998</v>
      </c>
      <c r="E1891" t="s">
        <v>7593</v>
      </c>
      <c r="F1891">
        <v>238.89</v>
      </c>
      <c r="G1891">
        <v>0.49000000953674322</v>
      </c>
      <c r="H1891">
        <v>36</v>
      </c>
      <c r="I1891">
        <v>4.6500000953674316</v>
      </c>
      <c r="J1891" t="s">
        <v>7594</v>
      </c>
      <c r="K1891">
        <v>9250</v>
      </c>
      <c r="L1891">
        <v>8600</v>
      </c>
      <c r="M1891">
        <v>-7.03</v>
      </c>
      <c r="N1891">
        <v>-1.94</v>
      </c>
      <c r="O1891">
        <v>-3.66</v>
      </c>
      <c r="P1891">
        <v>-1.85</v>
      </c>
      <c r="Q1891">
        <v>0.99</v>
      </c>
      <c r="R1891">
        <v>-2.27</v>
      </c>
      <c r="S1891">
        <v>1.31</v>
      </c>
      <c r="T1891">
        <v>0.6</v>
      </c>
      <c r="U1891">
        <v>0.51</v>
      </c>
      <c r="V1891">
        <v>0.89</v>
      </c>
      <c r="W1891">
        <v>1.78</v>
      </c>
      <c r="X1891">
        <v>0.37</v>
      </c>
      <c r="Y1891">
        <v>0.6</v>
      </c>
      <c r="Z1891">
        <v>3.23</v>
      </c>
      <c r="AA1891">
        <v>7.18</v>
      </c>
      <c r="AB1891">
        <v>2.08</v>
      </c>
      <c r="AC1891">
        <v>0.56000000000000005</v>
      </c>
      <c r="AD1891">
        <v>6.14</v>
      </c>
      <c r="AE1891">
        <v>2.1800000000000002</v>
      </c>
      <c r="AF1891">
        <v>3.561666666666667</v>
      </c>
      <c r="AG1891" t="str">
        <f>HYPERLINK("https://finance.naver.com/item/fchart.naver?code=109860", "동일금속 차트보기")</f>
        <v>동일금속 차트보기</v>
      </c>
    </row>
    <row r="1892" spans="1:33" x14ac:dyDescent="0.3">
      <c r="A1892" t="s">
        <v>7595</v>
      </c>
      <c r="B1892" t="s">
        <v>55</v>
      </c>
      <c r="C1892" t="s">
        <v>7596</v>
      </c>
      <c r="D1892">
        <v>1240302.1399999999</v>
      </c>
      <c r="E1892" t="s">
        <v>7597</v>
      </c>
      <c r="F1892">
        <v>20</v>
      </c>
      <c r="G1892">
        <v>0.68999999761581421</v>
      </c>
      <c r="H1892">
        <v>216</v>
      </c>
      <c r="I1892">
        <v>0</v>
      </c>
      <c r="J1892" t="s">
        <v>7598</v>
      </c>
      <c r="K1892">
        <v>4925</v>
      </c>
      <c r="L1892">
        <v>4320</v>
      </c>
      <c r="M1892">
        <v>-12.28</v>
      </c>
      <c r="N1892">
        <v>19.670000000000002</v>
      </c>
      <c r="O1892">
        <v>8.58</v>
      </c>
      <c r="P1892">
        <v>-4.16</v>
      </c>
      <c r="Q1892">
        <v>-7.85</v>
      </c>
      <c r="R1892">
        <v>-4.24</v>
      </c>
      <c r="S1892">
        <v>-12.79</v>
      </c>
      <c r="T1892">
        <v>6.6</v>
      </c>
      <c r="U1892">
        <v>3.26</v>
      </c>
      <c r="V1892">
        <v>1.95</v>
      </c>
      <c r="W1892">
        <v>3.67</v>
      </c>
      <c r="X1892">
        <v>1.45</v>
      </c>
      <c r="Y1892">
        <v>1.49</v>
      </c>
      <c r="Z1892">
        <v>2.98</v>
      </c>
      <c r="AA1892">
        <v>2.63</v>
      </c>
      <c r="AB1892">
        <v>2.13</v>
      </c>
      <c r="AC1892">
        <v>2.14</v>
      </c>
      <c r="AD1892">
        <v>2.92</v>
      </c>
      <c r="AE1892">
        <v>8.58</v>
      </c>
      <c r="AF1892">
        <v>3.563333333333333</v>
      </c>
      <c r="AG1892" t="str">
        <f>HYPERLINK("https://finance.naver.com/item/fchart.naver?code=100590", "머큐리 차트보기")</f>
        <v>머큐리 차트보기</v>
      </c>
    </row>
    <row r="1893" spans="1:33" x14ac:dyDescent="0.3">
      <c r="A1893" t="s">
        <v>7599</v>
      </c>
      <c r="B1893" t="s">
        <v>55</v>
      </c>
      <c r="C1893" t="s">
        <v>7600</v>
      </c>
      <c r="D1893">
        <v>1535.19</v>
      </c>
      <c r="E1893" t="s">
        <v>7601</v>
      </c>
      <c r="F1893">
        <v>101.55</v>
      </c>
      <c r="G1893">
        <v>0.28999999165534968</v>
      </c>
      <c r="H1893">
        <v>71</v>
      </c>
      <c r="I1893">
        <v>1.179999947547913</v>
      </c>
      <c r="J1893" t="s">
        <v>7602</v>
      </c>
      <c r="K1893">
        <v>8620</v>
      </c>
      <c r="L1893">
        <v>7210</v>
      </c>
      <c r="M1893">
        <v>-16.36</v>
      </c>
      <c r="N1893">
        <v>0.56000000000000005</v>
      </c>
      <c r="O1893">
        <v>2.7</v>
      </c>
      <c r="P1893">
        <v>-1.77</v>
      </c>
      <c r="Q1893">
        <v>-3.05</v>
      </c>
      <c r="R1893">
        <v>-7.5</v>
      </c>
      <c r="S1893">
        <v>-4.7</v>
      </c>
      <c r="T1893">
        <v>1.64</v>
      </c>
      <c r="U1893">
        <v>1.33</v>
      </c>
      <c r="V1893">
        <v>1.61</v>
      </c>
      <c r="W1893">
        <v>2.64</v>
      </c>
      <c r="X1893">
        <v>0.57999999999999996</v>
      </c>
      <c r="Y1893">
        <v>1.23</v>
      </c>
      <c r="Z1893">
        <v>0.34</v>
      </c>
      <c r="AA1893">
        <v>2.0299999999999998</v>
      </c>
      <c r="AB1893">
        <v>1.1000000000000001</v>
      </c>
      <c r="AC1893">
        <v>1.1599999999999999</v>
      </c>
      <c r="AD1893">
        <v>12.93</v>
      </c>
      <c r="AE1893">
        <v>3.82</v>
      </c>
      <c r="AF1893">
        <v>3.563333333333333</v>
      </c>
      <c r="AG1893" t="str">
        <f>HYPERLINK("https://finance.naver.com/item/fchart.naver?code=049830", "승일 차트보기")</f>
        <v>승일 차트보기</v>
      </c>
    </row>
    <row r="1894" spans="1:33" x14ac:dyDescent="0.3">
      <c r="A1894" t="s">
        <v>7603</v>
      </c>
      <c r="B1894" t="s">
        <v>34</v>
      </c>
      <c r="C1894" t="s">
        <v>7604</v>
      </c>
      <c r="D1894">
        <v>848949.52</v>
      </c>
      <c r="E1894" t="s">
        <v>7605</v>
      </c>
      <c r="F1894">
        <v>0</v>
      </c>
      <c r="G1894">
        <v>0.36000001430511469</v>
      </c>
      <c r="H1894">
        <v>0</v>
      </c>
      <c r="I1894">
        <v>0</v>
      </c>
      <c r="J1894" t="s">
        <v>7606</v>
      </c>
      <c r="K1894">
        <v>1857</v>
      </c>
      <c r="L1894">
        <v>1245</v>
      </c>
      <c r="M1894">
        <v>-32.96</v>
      </c>
      <c r="N1894">
        <v>-3.34</v>
      </c>
      <c r="O1894">
        <v>-7.29</v>
      </c>
      <c r="P1894">
        <v>-4.4400000000000004</v>
      </c>
      <c r="Q1894">
        <v>-7.4</v>
      </c>
      <c r="R1894">
        <v>-8.66</v>
      </c>
      <c r="S1894">
        <v>-3.89</v>
      </c>
      <c r="T1894">
        <v>1.77</v>
      </c>
      <c r="U1894">
        <v>2.74</v>
      </c>
      <c r="V1894">
        <v>1.56</v>
      </c>
      <c r="W1894">
        <v>4.83</v>
      </c>
      <c r="X1894">
        <v>1.18</v>
      </c>
      <c r="Y1894">
        <v>0.76</v>
      </c>
      <c r="Z1894">
        <v>1.89</v>
      </c>
      <c r="AA1894">
        <v>2.66</v>
      </c>
      <c r="AB1894">
        <v>2.85</v>
      </c>
      <c r="AC1894">
        <v>1.53</v>
      </c>
      <c r="AD1894">
        <v>7.34</v>
      </c>
      <c r="AE1894">
        <v>5.12</v>
      </c>
      <c r="AF1894">
        <v>3.5649999999999999</v>
      </c>
      <c r="AG1894" t="str">
        <f>HYPERLINK("https://finance.naver.com/item/fchart.naver?code=004270", "남성 차트보기")</f>
        <v>남성 차트보기</v>
      </c>
    </row>
    <row r="1895" spans="1:33" x14ac:dyDescent="0.3">
      <c r="A1895" t="s">
        <v>7607</v>
      </c>
      <c r="B1895" t="s">
        <v>55</v>
      </c>
      <c r="C1895" t="s">
        <v>7608</v>
      </c>
      <c r="D1895">
        <v>1044303.71</v>
      </c>
      <c r="E1895" t="s">
        <v>7609</v>
      </c>
      <c r="F1895">
        <v>41.48</v>
      </c>
      <c r="G1895">
        <v>2.7300000190734859</v>
      </c>
      <c r="H1895">
        <v>716</v>
      </c>
      <c r="I1895">
        <v>0.17000000178813929</v>
      </c>
      <c r="J1895" t="s">
        <v>7610</v>
      </c>
      <c r="K1895">
        <v>33350</v>
      </c>
      <c r="L1895">
        <v>29700</v>
      </c>
      <c r="M1895">
        <v>-10.94</v>
      </c>
      <c r="N1895">
        <v>-9.17</v>
      </c>
      <c r="O1895">
        <v>14.6</v>
      </c>
      <c r="P1895">
        <v>3.08</v>
      </c>
      <c r="Q1895">
        <v>-9.27</v>
      </c>
      <c r="R1895">
        <v>-25.46</v>
      </c>
      <c r="S1895">
        <v>14.57</v>
      </c>
      <c r="T1895">
        <v>3.14</v>
      </c>
      <c r="U1895">
        <v>4.18</v>
      </c>
      <c r="V1895">
        <v>3.5</v>
      </c>
      <c r="W1895">
        <v>5</v>
      </c>
      <c r="X1895">
        <v>3.08</v>
      </c>
      <c r="Y1895">
        <v>3.65</v>
      </c>
      <c r="Z1895">
        <v>2.92</v>
      </c>
      <c r="AA1895">
        <v>3.49</v>
      </c>
      <c r="AB1895">
        <v>0.88</v>
      </c>
      <c r="AC1895">
        <v>1.85</v>
      </c>
      <c r="AD1895">
        <v>8.27</v>
      </c>
      <c r="AE1895">
        <v>3.99</v>
      </c>
      <c r="AF1895">
        <v>3.566666666666666</v>
      </c>
      <c r="AG1895" t="str">
        <f>HYPERLINK("https://finance.naver.com/item/fchart.naver?code=036930", "주성엔지니어링 차트보기")</f>
        <v>주성엔지니어링 차트보기</v>
      </c>
    </row>
    <row r="1896" spans="1:33" x14ac:dyDescent="0.3">
      <c r="A1896" t="s">
        <v>7611</v>
      </c>
      <c r="B1896" t="s">
        <v>34</v>
      </c>
      <c r="C1896" t="s">
        <v>7612</v>
      </c>
      <c r="D1896">
        <v>566256.1</v>
      </c>
      <c r="E1896" t="s">
        <v>7613</v>
      </c>
      <c r="F1896">
        <v>20.54</v>
      </c>
      <c r="G1896">
        <v>0.5899999737739563</v>
      </c>
      <c r="H1896">
        <v>65</v>
      </c>
      <c r="I1896">
        <v>0</v>
      </c>
      <c r="J1896" t="s">
        <v>7614</v>
      </c>
      <c r="K1896">
        <v>1200</v>
      </c>
      <c r="L1896">
        <v>1335</v>
      </c>
      <c r="M1896">
        <v>11.25</v>
      </c>
      <c r="N1896">
        <v>-0.67</v>
      </c>
      <c r="O1896">
        <v>-27.52</v>
      </c>
      <c r="P1896">
        <v>69.05</v>
      </c>
      <c r="Q1896">
        <v>1.84</v>
      </c>
      <c r="R1896">
        <v>0.53</v>
      </c>
      <c r="S1896">
        <v>-6.29</v>
      </c>
      <c r="T1896">
        <v>1.62</v>
      </c>
      <c r="U1896">
        <v>3.8</v>
      </c>
      <c r="V1896">
        <v>11.55</v>
      </c>
      <c r="W1896">
        <v>3.49</v>
      </c>
      <c r="X1896">
        <v>1.08</v>
      </c>
      <c r="Y1896">
        <v>0.93</v>
      </c>
      <c r="Z1896">
        <v>0.41</v>
      </c>
      <c r="AA1896">
        <v>7.24</v>
      </c>
      <c r="AB1896">
        <v>5.98</v>
      </c>
      <c r="AC1896">
        <v>0.53</v>
      </c>
      <c r="AD1896">
        <v>0.49</v>
      </c>
      <c r="AE1896">
        <v>6.76</v>
      </c>
      <c r="AF1896">
        <v>3.5683333333333329</v>
      </c>
      <c r="AG1896" t="str">
        <f>HYPERLINK("https://finance.naver.com/item/fchart.naver?code=093240", "형지엘리트 차트보기")</f>
        <v>형지엘리트 차트보기</v>
      </c>
    </row>
    <row r="1897" spans="1:33" x14ac:dyDescent="0.3">
      <c r="A1897" t="s">
        <v>7615</v>
      </c>
      <c r="B1897" t="s">
        <v>55</v>
      </c>
      <c r="C1897" t="s">
        <v>7616</v>
      </c>
      <c r="D1897">
        <v>70267.710000000006</v>
      </c>
      <c r="E1897" t="s">
        <v>7617</v>
      </c>
      <c r="F1897">
        <v>161.79</v>
      </c>
      <c r="G1897">
        <v>2.7300000190734859</v>
      </c>
      <c r="H1897">
        <v>14</v>
      </c>
      <c r="I1897">
        <v>2.2100000381469731</v>
      </c>
      <c r="J1897" t="s">
        <v>7618</v>
      </c>
      <c r="K1897">
        <v>2750</v>
      </c>
      <c r="L1897">
        <v>2265</v>
      </c>
      <c r="M1897">
        <v>-17.64</v>
      </c>
      <c r="N1897">
        <v>-1.74</v>
      </c>
      <c r="O1897">
        <v>-10.29</v>
      </c>
      <c r="P1897">
        <v>0</v>
      </c>
      <c r="Q1897">
        <v>14.63</v>
      </c>
      <c r="R1897">
        <v>4.87</v>
      </c>
      <c r="S1897">
        <v>-14.45</v>
      </c>
      <c r="T1897">
        <v>1.77</v>
      </c>
      <c r="U1897">
        <v>2.02</v>
      </c>
      <c r="V1897">
        <v>3.26</v>
      </c>
      <c r="W1897">
        <v>4.1399999999999997</v>
      </c>
      <c r="X1897">
        <v>2.17</v>
      </c>
      <c r="Y1897">
        <v>1.51</v>
      </c>
      <c r="Z1897">
        <v>0.98</v>
      </c>
      <c r="AA1897">
        <v>5.09</v>
      </c>
      <c r="AB1897">
        <v>0</v>
      </c>
      <c r="AC1897">
        <v>3.53</v>
      </c>
      <c r="AD1897">
        <v>2.2400000000000002</v>
      </c>
      <c r="AE1897">
        <v>9.57</v>
      </c>
      <c r="AF1897">
        <v>3.5683333333333329</v>
      </c>
      <c r="AG1897" t="str">
        <f>HYPERLINK("https://finance.naver.com/item/fchart.naver?code=036120", "SCI평가정보 차트보기")</f>
        <v>SCI평가정보 차트보기</v>
      </c>
    </row>
    <row r="1898" spans="1:33" x14ac:dyDescent="0.3">
      <c r="A1898" t="s">
        <v>7619</v>
      </c>
      <c r="B1898" t="s">
        <v>55</v>
      </c>
      <c r="C1898" t="s">
        <v>7620</v>
      </c>
      <c r="D1898">
        <v>44392.24</v>
      </c>
      <c r="E1898" t="s">
        <v>7621</v>
      </c>
      <c r="F1898">
        <v>0</v>
      </c>
      <c r="G1898">
        <v>2.9800000190734859</v>
      </c>
      <c r="H1898">
        <v>0</v>
      </c>
      <c r="I1898">
        <v>0</v>
      </c>
      <c r="J1898" t="s">
        <v>7622</v>
      </c>
      <c r="K1898">
        <v>6200</v>
      </c>
      <c r="L1898">
        <v>11700</v>
      </c>
      <c r="M1898">
        <v>88.71</v>
      </c>
      <c r="N1898">
        <v>17.47</v>
      </c>
      <c r="O1898">
        <v>7.03</v>
      </c>
      <c r="P1898">
        <v>-6.22</v>
      </c>
      <c r="Q1898">
        <v>-2.95</v>
      </c>
      <c r="R1898">
        <v>26.27</v>
      </c>
      <c r="S1898">
        <v>29.77</v>
      </c>
      <c r="T1898">
        <v>3.1</v>
      </c>
      <c r="U1898">
        <v>2.8</v>
      </c>
      <c r="V1898">
        <v>2.66</v>
      </c>
      <c r="W1898">
        <v>7.38</v>
      </c>
      <c r="X1898">
        <v>5.44</v>
      </c>
      <c r="Y1898">
        <v>5.21</v>
      </c>
      <c r="Z1898">
        <v>5.64</v>
      </c>
      <c r="AA1898">
        <v>2.5099999999999998</v>
      </c>
      <c r="AB1898">
        <v>2.34</v>
      </c>
      <c r="AC1898">
        <v>0.4</v>
      </c>
      <c r="AD1898">
        <v>4.83</v>
      </c>
      <c r="AE1898">
        <v>5.71</v>
      </c>
      <c r="AF1898">
        <v>3.5716666666666672</v>
      </c>
      <c r="AG1898" t="str">
        <f>HYPERLINK("https://finance.naver.com/item/fchart.naver?code=363250", "진시스템 차트보기")</f>
        <v>진시스템 차트보기</v>
      </c>
    </row>
    <row r="1899" spans="1:33" x14ac:dyDescent="0.3">
      <c r="A1899" t="s">
        <v>7623</v>
      </c>
      <c r="B1899" t="s">
        <v>34</v>
      </c>
      <c r="C1899" t="s">
        <v>7624</v>
      </c>
      <c r="D1899">
        <v>193274.29</v>
      </c>
      <c r="E1899" t="s">
        <v>7625</v>
      </c>
      <c r="F1899">
        <v>6.98</v>
      </c>
      <c r="G1899">
        <v>0.8399999737739563</v>
      </c>
      <c r="H1899">
        <v>23884</v>
      </c>
      <c r="I1899">
        <v>1.570000052452087</v>
      </c>
      <c r="J1899" t="s">
        <v>7626</v>
      </c>
      <c r="K1899">
        <v>243500</v>
      </c>
      <c r="L1899">
        <v>166700</v>
      </c>
      <c r="M1899">
        <v>-31.54</v>
      </c>
      <c r="N1899">
        <v>-4.2</v>
      </c>
      <c r="O1899">
        <v>-14.62</v>
      </c>
      <c r="P1899">
        <v>-22.14</v>
      </c>
      <c r="Q1899">
        <v>8.3800000000000008</v>
      </c>
      <c r="R1899">
        <v>-5.36</v>
      </c>
      <c r="S1899">
        <v>9.24</v>
      </c>
      <c r="T1899">
        <v>1.51</v>
      </c>
      <c r="U1899">
        <v>3.26</v>
      </c>
      <c r="V1899">
        <v>3.07</v>
      </c>
      <c r="W1899">
        <v>3.81</v>
      </c>
      <c r="X1899">
        <v>2.58</v>
      </c>
      <c r="Y1899">
        <v>3.44</v>
      </c>
      <c r="Z1899">
        <v>2.78</v>
      </c>
      <c r="AA1899">
        <v>4.4800000000000004</v>
      </c>
      <c r="AB1899">
        <v>7.21</v>
      </c>
      <c r="AC1899">
        <v>2.2000000000000002</v>
      </c>
      <c r="AD1899">
        <v>2.08</v>
      </c>
      <c r="AE1899">
        <v>2.69</v>
      </c>
      <c r="AF1899">
        <v>3.5733333333333341</v>
      </c>
      <c r="AG1899" t="str">
        <f>HYPERLINK("https://finance.naver.com/item/fchart.naver?code=011070", "LG이노텍 차트보기")</f>
        <v>LG이노텍 차트보기</v>
      </c>
    </row>
    <row r="1900" spans="1:33" x14ac:dyDescent="0.3">
      <c r="A1900" t="s">
        <v>7627</v>
      </c>
      <c r="B1900" t="s">
        <v>34</v>
      </c>
      <c r="C1900" t="s">
        <v>7628</v>
      </c>
      <c r="D1900">
        <v>52154.52</v>
      </c>
      <c r="E1900" t="s">
        <v>7629</v>
      </c>
      <c r="J1900" t="s">
        <v>7630</v>
      </c>
      <c r="K1900">
        <v>4270</v>
      </c>
      <c r="L1900">
        <v>4405</v>
      </c>
      <c r="M1900">
        <v>3.16</v>
      </c>
      <c r="N1900">
        <v>-2.76</v>
      </c>
      <c r="O1900">
        <v>-1.63</v>
      </c>
      <c r="P1900">
        <v>1</v>
      </c>
      <c r="Q1900">
        <v>1.69</v>
      </c>
      <c r="R1900">
        <v>5.35</v>
      </c>
      <c r="S1900">
        <v>-2.79</v>
      </c>
      <c r="T1900">
        <v>0.95</v>
      </c>
      <c r="U1900">
        <v>0.83</v>
      </c>
      <c r="V1900">
        <v>0.51</v>
      </c>
      <c r="W1900">
        <v>1.26</v>
      </c>
      <c r="X1900">
        <v>0.77</v>
      </c>
      <c r="Y1900">
        <v>0.44</v>
      </c>
      <c r="Z1900">
        <v>2.91</v>
      </c>
      <c r="AA1900">
        <v>1.96</v>
      </c>
      <c r="AB1900">
        <v>1.96</v>
      </c>
      <c r="AC1900">
        <v>1.34</v>
      </c>
      <c r="AD1900">
        <v>6.95</v>
      </c>
      <c r="AE1900">
        <v>6.34</v>
      </c>
      <c r="AF1900">
        <v>3.5766666666666671</v>
      </c>
      <c r="AG1900" t="str">
        <f>HYPERLINK("https://finance.naver.com/item/fchart.naver?code=094800", "맵스리얼티1 차트보기")</f>
        <v>맵스리얼티1 차트보기</v>
      </c>
    </row>
    <row r="1901" spans="1:33" x14ac:dyDescent="0.3">
      <c r="A1901" t="s">
        <v>7631</v>
      </c>
      <c r="B1901" t="s">
        <v>34</v>
      </c>
      <c r="C1901" t="s">
        <v>7632</v>
      </c>
      <c r="D1901">
        <v>227527.24</v>
      </c>
      <c r="E1901" t="s">
        <v>7633</v>
      </c>
      <c r="F1901">
        <v>43.29</v>
      </c>
      <c r="G1901">
        <v>1.690000057220459</v>
      </c>
      <c r="H1901">
        <v>155</v>
      </c>
      <c r="I1901">
        <v>0</v>
      </c>
      <c r="J1901" t="s">
        <v>7634</v>
      </c>
      <c r="K1901">
        <v>9090</v>
      </c>
      <c r="L1901">
        <v>6710</v>
      </c>
      <c r="M1901">
        <v>-26.18</v>
      </c>
      <c r="N1901">
        <v>-5.63</v>
      </c>
      <c r="O1901">
        <v>-24.51</v>
      </c>
      <c r="P1901">
        <v>9.0299999999999994</v>
      </c>
      <c r="Q1901">
        <v>-8.6999999999999993</v>
      </c>
      <c r="R1901">
        <v>-16.75</v>
      </c>
      <c r="S1901">
        <v>-6.41</v>
      </c>
      <c r="T1901">
        <v>3.85</v>
      </c>
      <c r="U1901">
        <v>2.46</v>
      </c>
      <c r="V1901">
        <v>4.05</v>
      </c>
      <c r="W1901">
        <v>4.8</v>
      </c>
      <c r="X1901">
        <v>3.27</v>
      </c>
      <c r="Y1901">
        <v>7.25</v>
      </c>
      <c r="Z1901">
        <v>1.46</v>
      </c>
      <c r="AA1901">
        <v>9.9600000000000009</v>
      </c>
      <c r="AB1901">
        <v>2.23</v>
      </c>
      <c r="AC1901">
        <v>1.81</v>
      </c>
      <c r="AD1901">
        <v>5.12</v>
      </c>
      <c r="AE1901">
        <v>0.88</v>
      </c>
      <c r="AF1901">
        <v>3.5766666666666671</v>
      </c>
      <c r="AG1901" t="str">
        <f>HYPERLINK("https://finance.naver.com/item/fchart.naver?code=214420", "토니모리 차트보기")</f>
        <v>토니모리 차트보기</v>
      </c>
    </row>
    <row r="1902" spans="1:33" x14ac:dyDescent="0.3">
      <c r="A1902" t="s">
        <v>7635</v>
      </c>
      <c r="B1902" t="s">
        <v>55</v>
      </c>
      <c r="C1902" t="s">
        <v>7636</v>
      </c>
      <c r="D1902">
        <v>120283.81</v>
      </c>
      <c r="E1902" t="s">
        <v>7637</v>
      </c>
      <c r="F1902">
        <v>18.3</v>
      </c>
      <c r="G1902">
        <v>0.64999997615814209</v>
      </c>
      <c r="H1902">
        <v>153</v>
      </c>
      <c r="I1902">
        <v>0</v>
      </c>
      <c r="J1902" t="s">
        <v>7638</v>
      </c>
      <c r="K1902">
        <v>2885</v>
      </c>
      <c r="L1902">
        <v>2800</v>
      </c>
      <c r="M1902">
        <v>-2.95</v>
      </c>
      <c r="N1902">
        <v>7.9</v>
      </c>
      <c r="O1902">
        <v>-1.85</v>
      </c>
      <c r="P1902">
        <v>-0.36</v>
      </c>
      <c r="Q1902">
        <v>22.13</v>
      </c>
      <c r="R1902">
        <v>-11.88</v>
      </c>
      <c r="S1902">
        <v>-11.69</v>
      </c>
      <c r="T1902">
        <v>2.08</v>
      </c>
      <c r="U1902">
        <v>2.34</v>
      </c>
      <c r="V1902">
        <v>2</v>
      </c>
      <c r="W1902">
        <v>8.33</v>
      </c>
      <c r="X1902">
        <v>1.4</v>
      </c>
      <c r="Y1902">
        <v>2.11</v>
      </c>
      <c r="Z1902">
        <v>3.8</v>
      </c>
      <c r="AA1902">
        <v>0.79</v>
      </c>
      <c r="AB1902">
        <v>0.18</v>
      </c>
      <c r="AC1902">
        <v>2.66</v>
      </c>
      <c r="AD1902">
        <v>8.49</v>
      </c>
      <c r="AE1902">
        <v>5.54</v>
      </c>
      <c r="AF1902">
        <v>3.5766666666666671</v>
      </c>
      <c r="AG1902" t="str">
        <f>HYPERLINK("https://finance.naver.com/item/fchart.naver?code=198080", "엔피디 차트보기")</f>
        <v>엔피디 차트보기</v>
      </c>
    </row>
    <row r="1903" spans="1:33" x14ac:dyDescent="0.3">
      <c r="A1903" t="s">
        <v>7639</v>
      </c>
      <c r="B1903" t="s">
        <v>34</v>
      </c>
      <c r="C1903" t="s">
        <v>7640</v>
      </c>
      <c r="D1903">
        <v>5581138.3300000001</v>
      </c>
      <c r="E1903" t="s">
        <v>7641</v>
      </c>
      <c r="F1903">
        <v>0</v>
      </c>
      <c r="G1903">
        <v>2.940000057220459</v>
      </c>
      <c r="H1903">
        <v>0</v>
      </c>
      <c r="I1903">
        <v>0</v>
      </c>
      <c r="J1903" t="s">
        <v>7642</v>
      </c>
      <c r="K1903">
        <v>10150</v>
      </c>
      <c r="L1903">
        <v>11820</v>
      </c>
      <c r="M1903">
        <v>16.45</v>
      </c>
      <c r="N1903">
        <v>24.82</v>
      </c>
      <c r="O1903">
        <v>-4.58</v>
      </c>
      <c r="P1903">
        <v>-1.38</v>
      </c>
      <c r="Q1903">
        <v>-10.19</v>
      </c>
      <c r="R1903">
        <v>20.97</v>
      </c>
      <c r="S1903">
        <v>-2.6</v>
      </c>
      <c r="T1903">
        <v>3.8</v>
      </c>
      <c r="U1903">
        <v>1.71</v>
      </c>
      <c r="V1903">
        <v>2.4900000000000002</v>
      </c>
      <c r="W1903">
        <v>3.63</v>
      </c>
      <c r="X1903">
        <v>2.78</v>
      </c>
      <c r="Y1903">
        <v>1.92</v>
      </c>
      <c r="Z1903">
        <v>6.53</v>
      </c>
      <c r="AA1903">
        <v>2.68</v>
      </c>
      <c r="AB1903">
        <v>0.55000000000000004</v>
      </c>
      <c r="AC1903">
        <v>2.81</v>
      </c>
      <c r="AD1903">
        <v>7.54</v>
      </c>
      <c r="AE1903">
        <v>1.35</v>
      </c>
      <c r="AF1903">
        <v>3.576666666666668</v>
      </c>
      <c r="AG1903" t="str">
        <f>HYPERLINK("https://finance.naver.com/item/fchart.naver?code=010140", "삼성중공업 차트보기")</f>
        <v>삼성중공업 차트보기</v>
      </c>
    </row>
    <row r="1904" spans="1:33" x14ac:dyDescent="0.3">
      <c r="A1904" t="s">
        <v>7643</v>
      </c>
      <c r="B1904" t="s">
        <v>55</v>
      </c>
      <c r="C1904" t="s">
        <v>7644</v>
      </c>
      <c r="D1904">
        <v>281637.09999999998</v>
      </c>
      <c r="E1904" t="s">
        <v>7645</v>
      </c>
      <c r="F1904">
        <v>0</v>
      </c>
      <c r="G1904">
        <v>0.97000002861022949</v>
      </c>
      <c r="H1904">
        <v>0</v>
      </c>
      <c r="I1904">
        <v>0</v>
      </c>
      <c r="J1904" t="s">
        <v>7646</v>
      </c>
      <c r="K1904">
        <v>1564</v>
      </c>
      <c r="L1904">
        <v>1057</v>
      </c>
      <c r="M1904">
        <v>-32.42</v>
      </c>
      <c r="N1904">
        <v>-2.94</v>
      </c>
      <c r="O1904">
        <v>-4.71</v>
      </c>
      <c r="P1904">
        <v>-3.45</v>
      </c>
      <c r="Q1904">
        <v>4.3</v>
      </c>
      <c r="R1904">
        <v>-6</v>
      </c>
      <c r="S1904">
        <v>-13.38</v>
      </c>
      <c r="T1904">
        <v>0.66</v>
      </c>
      <c r="U1904">
        <v>1.47</v>
      </c>
      <c r="V1904">
        <v>1.64</v>
      </c>
      <c r="W1904">
        <v>4.6500000000000004</v>
      </c>
      <c r="X1904">
        <v>3.03</v>
      </c>
      <c r="Y1904">
        <v>1.51</v>
      </c>
      <c r="Z1904">
        <v>4.45</v>
      </c>
      <c r="AA1904">
        <v>3.2</v>
      </c>
      <c r="AB1904">
        <v>2.1</v>
      </c>
      <c r="AC1904">
        <v>0.92</v>
      </c>
      <c r="AD1904">
        <v>1.98</v>
      </c>
      <c r="AE1904">
        <v>8.86</v>
      </c>
      <c r="AF1904">
        <v>3.585</v>
      </c>
      <c r="AG1904" t="str">
        <f>HYPERLINK("https://finance.naver.com/item/fchart.naver?code=013720", "CBI 차트보기")</f>
        <v>CBI 차트보기</v>
      </c>
    </row>
    <row r="1905" spans="1:33" x14ac:dyDescent="0.3">
      <c r="A1905" t="s">
        <v>7647</v>
      </c>
      <c r="B1905" t="s">
        <v>55</v>
      </c>
      <c r="C1905" t="s">
        <v>7648</v>
      </c>
      <c r="D1905">
        <v>132361.67000000001</v>
      </c>
      <c r="E1905" t="s">
        <v>7649</v>
      </c>
      <c r="F1905">
        <v>29.26</v>
      </c>
      <c r="G1905">
        <v>5.2199997901916504</v>
      </c>
      <c r="H1905">
        <v>7571</v>
      </c>
      <c r="I1905">
        <v>0.43000000715255737</v>
      </c>
      <c r="J1905" t="s">
        <v>7650</v>
      </c>
      <c r="K1905">
        <v>137300</v>
      </c>
      <c r="L1905">
        <v>221500</v>
      </c>
      <c r="M1905">
        <v>61.33</v>
      </c>
      <c r="N1905">
        <v>3.99</v>
      </c>
      <c r="O1905">
        <v>17.079999999999998</v>
      </c>
      <c r="P1905">
        <v>9.86</v>
      </c>
      <c r="Q1905">
        <v>17.91</v>
      </c>
      <c r="R1905">
        <v>-10</v>
      </c>
      <c r="S1905">
        <v>13.85</v>
      </c>
      <c r="T1905">
        <v>4.62</v>
      </c>
      <c r="U1905">
        <v>2.44</v>
      </c>
      <c r="V1905">
        <v>2.86</v>
      </c>
      <c r="W1905">
        <v>5.65</v>
      </c>
      <c r="X1905">
        <v>2.66</v>
      </c>
      <c r="Y1905">
        <v>4.24</v>
      </c>
      <c r="Z1905">
        <v>0.86</v>
      </c>
      <c r="AA1905">
        <v>7</v>
      </c>
      <c r="AB1905">
        <v>3.45</v>
      </c>
      <c r="AC1905">
        <v>3.17</v>
      </c>
      <c r="AD1905">
        <v>3.76</v>
      </c>
      <c r="AE1905">
        <v>3.27</v>
      </c>
      <c r="AF1905">
        <v>3.585</v>
      </c>
      <c r="AG1905" t="str">
        <f>HYPERLINK("https://finance.naver.com/item/fchart.naver?code=214450", "파마리서치 차트보기")</f>
        <v>파마리서치 차트보기</v>
      </c>
    </row>
    <row r="1906" spans="1:33" x14ac:dyDescent="0.3">
      <c r="A1906" t="s">
        <v>7651</v>
      </c>
      <c r="B1906" t="s">
        <v>55</v>
      </c>
      <c r="C1906" t="s">
        <v>7652</v>
      </c>
      <c r="D1906">
        <v>2542141</v>
      </c>
      <c r="E1906" t="s">
        <v>7653</v>
      </c>
      <c r="F1906">
        <v>180.87</v>
      </c>
      <c r="G1906">
        <v>1.8400000333786011</v>
      </c>
      <c r="H1906">
        <v>23</v>
      </c>
      <c r="I1906">
        <v>0</v>
      </c>
      <c r="J1906" t="s">
        <v>7654</v>
      </c>
      <c r="K1906">
        <v>5200</v>
      </c>
      <c r="L1906">
        <v>4160</v>
      </c>
      <c r="M1906">
        <v>-20</v>
      </c>
      <c r="N1906">
        <v>-2.92</v>
      </c>
      <c r="O1906">
        <v>-11.02</v>
      </c>
      <c r="P1906">
        <v>24.51</v>
      </c>
      <c r="Q1906">
        <v>-10.45</v>
      </c>
      <c r="R1906">
        <v>-15.17</v>
      </c>
      <c r="S1906">
        <v>6.02</v>
      </c>
      <c r="T1906">
        <v>1.62</v>
      </c>
      <c r="U1906">
        <v>5.77</v>
      </c>
      <c r="V1906">
        <v>4.03</v>
      </c>
      <c r="W1906">
        <v>3.29</v>
      </c>
      <c r="X1906">
        <v>2.62</v>
      </c>
      <c r="Y1906">
        <v>2.1800000000000002</v>
      </c>
      <c r="Z1906">
        <v>1.8</v>
      </c>
      <c r="AA1906">
        <v>1.91</v>
      </c>
      <c r="AB1906">
        <v>6.08</v>
      </c>
      <c r="AC1906">
        <v>3.18</v>
      </c>
      <c r="AD1906">
        <v>5.79</v>
      </c>
      <c r="AE1906">
        <v>2.76</v>
      </c>
      <c r="AF1906">
        <v>3.586666666666666</v>
      </c>
      <c r="AG1906" t="str">
        <f>HYPERLINK("https://finance.naver.com/item/fchart.naver?code=218150", "미래생명자원 차트보기")</f>
        <v>미래생명자원 차트보기</v>
      </c>
    </row>
    <row r="1907" spans="1:33" x14ac:dyDescent="0.3">
      <c r="A1907" t="s">
        <v>7655</v>
      </c>
      <c r="B1907" t="s">
        <v>55</v>
      </c>
      <c r="C1907" t="s">
        <v>7656</v>
      </c>
      <c r="D1907">
        <v>11449.76</v>
      </c>
      <c r="E1907" t="s">
        <v>7657</v>
      </c>
      <c r="F1907">
        <v>0</v>
      </c>
      <c r="G1907">
        <v>0.57999998331069946</v>
      </c>
      <c r="H1907">
        <v>0</v>
      </c>
      <c r="I1907">
        <v>0</v>
      </c>
      <c r="J1907" t="s">
        <v>7658</v>
      </c>
      <c r="K1907">
        <v>2825</v>
      </c>
      <c r="L1907">
        <v>2165</v>
      </c>
      <c r="M1907">
        <v>-23.36</v>
      </c>
      <c r="N1907">
        <v>-2.91</v>
      </c>
      <c r="O1907">
        <v>-5.31</v>
      </c>
      <c r="P1907">
        <v>-3.73</v>
      </c>
      <c r="Q1907">
        <v>3.16</v>
      </c>
      <c r="R1907">
        <v>-10.8</v>
      </c>
      <c r="S1907">
        <v>-5.7</v>
      </c>
      <c r="T1907">
        <v>1.32</v>
      </c>
      <c r="U1907">
        <v>1.56</v>
      </c>
      <c r="V1907">
        <v>1.83</v>
      </c>
      <c r="W1907">
        <v>2.13</v>
      </c>
      <c r="X1907">
        <v>1.29</v>
      </c>
      <c r="Y1907">
        <v>1.41</v>
      </c>
      <c r="Z1907">
        <v>2.2000000000000002</v>
      </c>
      <c r="AA1907">
        <v>3.4</v>
      </c>
      <c r="AB1907">
        <v>2.04</v>
      </c>
      <c r="AC1907">
        <v>1.48</v>
      </c>
      <c r="AD1907">
        <v>8.3699999999999992</v>
      </c>
      <c r="AE1907">
        <v>4.04</v>
      </c>
      <c r="AF1907">
        <v>3.5883333333333329</v>
      </c>
      <c r="AG1907" t="str">
        <f>HYPERLINK("https://finance.naver.com/item/fchart.naver?code=352940", "인바이오 차트보기")</f>
        <v>인바이오 차트보기</v>
      </c>
    </row>
    <row r="1908" spans="1:33" x14ac:dyDescent="0.3">
      <c r="A1908" t="s">
        <v>7659</v>
      </c>
      <c r="B1908" t="s">
        <v>34</v>
      </c>
      <c r="C1908" t="s">
        <v>7660</v>
      </c>
      <c r="D1908">
        <v>1557771.67</v>
      </c>
      <c r="E1908" t="s">
        <v>7661</v>
      </c>
      <c r="F1908">
        <v>0</v>
      </c>
      <c r="G1908">
        <v>0</v>
      </c>
      <c r="H1908">
        <v>0</v>
      </c>
      <c r="I1908">
        <v>3.1400001049041748</v>
      </c>
      <c r="J1908" t="s">
        <v>7662</v>
      </c>
      <c r="K1908">
        <v>64700</v>
      </c>
      <c r="L1908">
        <v>46000</v>
      </c>
      <c r="M1908">
        <v>-28.9</v>
      </c>
      <c r="N1908">
        <v>-4.17</v>
      </c>
      <c r="O1908">
        <v>-6.71</v>
      </c>
      <c r="P1908">
        <v>-15.17</v>
      </c>
      <c r="Q1908">
        <v>-7.41</v>
      </c>
      <c r="R1908">
        <v>1.0900000000000001</v>
      </c>
      <c r="S1908">
        <v>3.41</v>
      </c>
      <c r="T1908">
        <v>1.33</v>
      </c>
      <c r="U1908">
        <v>1.82</v>
      </c>
      <c r="V1908">
        <v>1.63</v>
      </c>
      <c r="W1908">
        <v>2.95</v>
      </c>
      <c r="X1908">
        <v>1.76</v>
      </c>
      <c r="Y1908">
        <v>1.5</v>
      </c>
      <c r="Z1908">
        <v>3.14</v>
      </c>
      <c r="AA1908">
        <v>3.69</v>
      </c>
      <c r="AB1908">
        <v>9.31</v>
      </c>
      <c r="AC1908">
        <v>2.5099999999999998</v>
      </c>
      <c r="AD1908">
        <v>0.62</v>
      </c>
      <c r="AE1908">
        <v>2.27</v>
      </c>
      <c r="AF1908">
        <v>3.59</v>
      </c>
      <c r="AG1908" t="str">
        <f>HYPERLINK("https://finance.naver.com/item/fchart.naver?code=005935", "삼성전자우 차트보기")</f>
        <v>삼성전자우 차트보기</v>
      </c>
    </row>
    <row r="1909" spans="1:33" x14ac:dyDescent="0.3">
      <c r="A1909" t="s">
        <v>7663</v>
      </c>
      <c r="B1909" t="s">
        <v>55</v>
      </c>
      <c r="C1909" t="s">
        <v>7664</v>
      </c>
      <c r="D1909">
        <v>16210.67</v>
      </c>
      <c r="E1909" t="s">
        <v>7665</v>
      </c>
      <c r="F1909">
        <v>0</v>
      </c>
      <c r="G1909">
        <v>18.20000076293945</v>
      </c>
      <c r="H1909">
        <v>0</v>
      </c>
      <c r="I1909">
        <v>0</v>
      </c>
      <c r="J1909" t="s">
        <v>7666</v>
      </c>
      <c r="K1909">
        <v>34450</v>
      </c>
      <c r="L1909">
        <v>15250</v>
      </c>
      <c r="M1909">
        <v>-55.73</v>
      </c>
      <c r="N1909">
        <v>1.67</v>
      </c>
      <c r="O1909">
        <v>-8</v>
      </c>
      <c r="P1909">
        <v>0.86</v>
      </c>
      <c r="Q1909">
        <v>-19.43</v>
      </c>
      <c r="R1909">
        <v>-24.91</v>
      </c>
      <c r="S1909">
        <v>-13.88</v>
      </c>
      <c r="T1909">
        <v>4.16</v>
      </c>
      <c r="U1909">
        <v>2.59</v>
      </c>
      <c r="V1909">
        <v>4.01</v>
      </c>
      <c r="W1909">
        <v>4.78</v>
      </c>
      <c r="X1909">
        <v>2.98</v>
      </c>
      <c r="Y1909">
        <v>2.56</v>
      </c>
      <c r="Z1909">
        <v>0.4</v>
      </c>
      <c r="AA1909">
        <v>3.09</v>
      </c>
      <c r="AB1909">
        <v>0.21</v>
      </c>
      <c r="AC1909">
        <v>4.0599999999999996</v>
      </c>
      <c r="AD1909">
        <v>8.36</v>
      </c>
      <c r="AE1909">
        <v>5.42</v>
      </c>
      <c r="AF1909">
        <v>3.59</v>
      </c>
      <c r="AG1909" t="str">
        <f>HYPERLINK("https://finance.naver.com/item/fchart.naver?code=300080", "플리토 차트보기")</f>
        <v>플리토 차트보기</v>
      </c>
    </row>
    <row r="1910" spans="1:33" x14ac:dyDescent="0.3">
      <c r="A1910" t="s">
        <v>7667</v>
      </c>
      <c r="B1910" t="s">
        <v>55</v>
      </c>
      <c r="C1910" t="s">
        <v>7668</v>
      </c>
      <c r="D1910">
        <v>18669.48</v>
      </c>
      <c r="E1910" t="s">
        <v>7669</v>
      </c>
      <c r="F1910">
        <v>4.3</v>
      </c>
      <c r="G1910">
        <v>0.40999999642372131</v>
      </c>
      <c r="H1910">
        <v>1348</v>
      </c>
      <c r="I1910">
        <v>4.320000171661377</v>
      </c>
      <c r="J1910" t="s">
        <v>7670</v>
      </c>
      <c r="K1910">
        <v>7030</v>
      </c>
      <c r="L1910">
        <v>5790</v>
      </c>
      <c r="M1910">
        <v>-17.64</v>
      </c>
      <c r="N1910">
        <v>4.1399999999999997</v>
      </c>
      <c r="O1910">
        <v>-14.29</v>
      </c>
      <c r="P1910">
        <v>1.81</v>
      </c>
      <c r="Q1910">
        <v>5.29</v>
      </c>
      <c r="R1910">
        <v>0.32</v>
      </c>
      <c r="S1910">
        <v>-8.43</v>
      </c>
      <c r="T1910">
        <v>3.25</v>
      </c>
      <c r="U1910">
        <v>1.25</v>
      </c>
      <c r="V1910">
        <v>2.4</v>
      </c>
      <c r="W1910">
        <v>3.7</v>
      </c>
      <c r="X1910">
        <v>2.36</v>
      </c>
      <c r="Y1910">
        <v>1.29</v>
      </c>
      <c r="Z1910">
        <v>1.27</v>
      </c>
      <c r="AA1910">
        <v>11.43</v>
      </c>
      <c r="AB1910">
        <v>0.75</v>
      </c>
      <c r="AC1910">
        <v>1.43</v>
      </c>
      <c r="AD1910">
        <v>0.14000000000000001</v>
      </c>
      <c r="AE1910">
        <v>6.53</v>
      </c>
      <c r="AF1910">
        <v>3.5916666666666668</v>
      </c>
      <c r="AG1910" t="str">
        <f>HYPERLINK("https://finance.naver.com/item/fchart.naver?code=306040", "에스제이그룹 차트보기")</f>
        <v>에스제이그룹 차트보기</v>
      </c>
    </row>
    <row r="1911" spans="1:33" x14ac:dyDescent="0.3">
      <c r="A1911" t="s">
        <v>7671</v>
      </c>
      <c r="B1911" t="s">
        <v>55</v>
      </c>
      <c r="C1911" t="s">
        <v>7672</v>
      </c>
      <c r="D1911">
        <v>274398.62</v>
      </c>
      <c r="E1911" t="s">
        <v>7673</v>
      </c>
      <c r="F1911">
        <v>2.78</v>
      </c>
      <c r="G1911">
        <v>0.36000001430511469</v>
      </c>
      <c r="H1911">
        <v>2125</v>
      </c>
      <c r="I1911">
        <v>2.5399999618530269</v>
      </c>
      <c r="J1911" t="s">
        <v>7674</v>
      </c>
      <c r="K1911">
        <v>9290</v>
      </c>
      <c r="L1911">
        <v>5900</v>
      </c>
      <c r="M1911">
        <v>-36.49</v>
      </c>
      <c r="N1911">
        <v>-4.68</v>
      </c>
      <c r="O1911">
        <v>-5.97</v>
      </c>
      <c r="P1911">
        <v>-5.1100000000000003</v>
      </c>
      <c r="Q1911">
        <v>-3.85</v>
      </c>
      <c r="R1911">
        <v>-15.57</v>
      </c>
      <c r="S1911">
        <v>5.88</v>
      </c>
      <c r="T1911">
        <v>1.59</v>
      </c>
      <c r="U1911">
        <v>1.51</v>
      </c>
      <c r="V1911">
        <v>2.74</v>
      </c>
      <c r="W1911">
        <v>4.66</v>
      </c>
      <c r="X1911">
        <v>1.7</v>
      </c>
      <c r="Y1911">
        <v>2.08</v>
      </c>
      <c r="Z1911">
        <v>2.94</v>
      </c>
      <c r="AA1911">
        <v>3.95</v>
      </c>
      <c r="AB1911">
        <v>1.86</v>
      </c>
      <c r="AC1911">
        <v>0.83</v>
      </c>
      <c r="AD1911">
        <v>9.16</v>
      </c>
      <c r="AE1911">
        <v>2.83</v>
      </c>
      <c r="AF1911">
        <v>3.5950000000000002</v>
      </c>
      <c r="AG1911" t="str">
        <f>HYPERLINK("https://finance.naver.com/item/fchart.naver?code=015750", "성우하이텍 차트보기")</f>
        <v>성우하이텍 차트보기</v>
      </c>
    </row>
    <row r="1912" spans="1:33" x14ac:dyDescent="0.3">
      <c r="A1912" t="s">
        <v>7675</v>
      </c>
      <c r="B1912" t="s">
        <v>55</v>
      </c>
      <c r="C1912" t="s">
        <v>7676</v>
      </c>
      <c r="D1912">
        <v>116431.67</v>
      </c>
      <c r="E1912" t="s">
        <v>7677</v>
      </c>
      <c r="F1912">
        <v>11.42</v>
      </c>
      <c r="G1912">
        <v>0.5899999737739563</v>
      </c>
      <c r="H1912">
        <v>423</v>
      </c>
      <c r="I1912">
        <v>2.0699999332427979</v>
      </c>
      <c r="J1912" t="s">
        <v>7678</v>
      </c>
      <c r="K1912">
        <v>6490</v>
      </c>
      <c r="L1912">
        <v>4830</v>
      </c>
      <c r="M1912">
        <v>-25.58</v>
      </c>
      <c r="N1912">
        <v>-5.48</v>
      </c>
      <c r="O1912">
        <v>1.75</v>
      </c>
      <c r="P1912">
        <v>-3.9</v>
      </c>
      <c r="Q1912">
        <v>-11.26</v>
      </c>
      <c r="R1912">
        <v>-2.1800000000000002</v>
      </c>
      <c r="S1912">
        <v>-8.6300000000000008</v>
      </c>
      <c r="T1912">
        <v>1.2</v>
      </c>
      <c r="U1912">
        <v>8.1199999999999992</v>
      </c>
      <c r="V1912">
        <v>2.75</v>
      </c>
      <c r="W1912">
        <v>2.59</v>
      </c>
      <c r="X1912">
        <v>1.51</v>
      </c>
      <c r="Y1912">
        <v>0.9</v>
      </c>
      <c r="Z1912">
        <v>4.57</v>
      </c>
      <c r="AA1912">
        <v>0.22</v>
      </c>
      <c r="AB1912">
        <v>1.42</v>
      </c>
      <c r="AC1912">
        <v>4.3499999999999996</v>
      </c>
      <c r="AD1912">
        <v>1.44</v>
      </c>
      <c r="AE1912">
        <v>9.59</v>
      </c>
      <c r="AF1912">
        <v>3.5983333333333332</v>
      </c>
      <c r="AG1912" t="str">
        <f>HYPERLINK("https://finance.naver.com/item/fchart.naver?code=318010", "팜스빌 차트보기")</f>
        <v>팜스빌 차트보기</v>
      </c>
    </row>
    <row r="1913" spans="1:33" x14ac:dyDescent="0.3">
      <c r="A1913" t="s">
        <v>7679</v>
      </c>
      <c r="B1913" t="s">
        <v>55</v>
      </c>
      <c r="C1913" t="s">
        <v>7680</v>
      </c>
      <c r="D1913">
        <v>20421.48</v>
      </c>
      <c r="E1913" t="s">
        <v>7681</v>
      </c>
      <c r="F1913">
        <v>4.3099999999999996</v>
      </c>
      <c r="G1913">
        <v>0.56000000238418579</v>
      </c>
      <c r="H1913">
        <v>1507</v>
      </c>
      <c r="I1913">
        <v>2.9200000762939449</v>
      </c>
      <c r="J1913" t="s">
        <v>7682</v>
      </c>
      <c r="K1913">
        <v>7840</v>
      </c>
      <c r="L1913">
        <v>6500</v>
      </c>
      <c r="M1913">
        <v>-17.09</v>
      </c>
      <c r="N1913">
        <v>-2.69</v>
      </c>
      <c r="O1913">
        <v>-3.65</v>
      </c>
      <c r="P1913">
        <v>4.24</v>
      </c>
      <c r="Q1913">
        <v>-6</v>
      </c>
      <c r="R1913">
        <v>-5.98</v>
      </c>
      <c r="S1913">
        <v>-3.08</v>
      </c>
      <c r="T1913">
        <v>1.24</v>
      </c>
      <c r="U1913">
        <v>0.75</v>
      </c>
      <c r="V1913">
        <v>1.78</v>
      </c>
      <c r="W1913">
        <v>2.82</v>
      </c>
      <c r="X1913">
        <v>0.99</v>
      </c>
      <c r="Y1913">
        <v>0.77</v>
      </c>
      <c r="Z1913">
        <v>2.17</v>
      </c>
      <c r="AA1913">
        <v>4.87</v>
      </c>
      <c r="AB1913">
        <v>2.38</v>
      </c>
      <c r="AC1913">
        <v>2.13</v>
      </c>
      <c r="AD1913">
        <v>6.04</v>
      </c>
      <c r="AE1913">
        <v>4</v>
      </c>
      <c r="AF1913">
        <v>3.5983333333333332</v>
      </c>
      <c r="AG1913" t="str">
        <f>HYPERLINK("https://finance.naver.com/item/fchart.naver?code=048430", "유라테크 차트보기")</f>
        <v>유라테크 차트보기</v>
      </c>
    </row>
    <row r="1914" spans="1:33" x14ac:dyDescent="0.3">
      <c r="A1914" t="s">
        <v>7683</v>
      </c>
      <c r="B1914" t="s">
        <v>34</v>
      </c>
      <c r="C1914" t="s">
        <v>7684</v>
      </c>
      <c r="D1914">
        <v>29110.1</v>
      </c>
      <c r="E1914" t="s">
        <v>7685</v>
      </c>
      <c r="F1914">
        <v>25.67</v>
      </c>
      <c r="G1914">
        <v>0.46000000834465032</v>
      </c>
      <c r="H1914">
        <v>2450</v>
      </c>
      <c r="I1914">
        <v>2.5399999618530269</v>
      </c>
      <c r="J1914" t="s">
        <v>7686</v>
      </c>
      <c r="K1914">
        <v>103500</v>
      </c>
      <c r="L1914">
        <v>62900</v>
      </c>
      <c r="M1914">
        <v>-39.229999999999997</v>
      </c>
      <c r="N1914">
        <v>-9.89</v>
      </c>
      <c r="O1914">
        <v>-6.9</v>
      </c>
      <c r="P1914">
        <v>-0.26</v>
      </c>
      <c r="Q1914">
        <v>-10.48</v>
      </c>
      <c r="R1914">
        <v>-14.06</v>
      </c>
      <c r="S1914">
        <v>-5.05</v>
      </c>
      <c r="T1914">
        <v>1.26</v>
      </c>
      <c r="U1914">
        <v>2.98</v>
      </c>
      <c r="V1914">
        <v>2.88</v>
      </c>
      <c r="W1914">
        <v>2.95</v>
      </c>
      <c r="X1914">
        <v>2.21</v>
      </c>
      <c r="Y1914">
        <v>3.52</v>
      </c>
      <c r="Z1914">
        <v>7.85</v>
      </c>
      <c r="AA1914">
        <v>2.3199999999999998</v>
      </c>
      <c r="AB1914">
        <v>0.09</v>
      </c>
      <c r="AC1914">
        <v>3.55</v>
      </c>
      <c r="AD1914">
        <v>6.36</v>
      </c>
      <c r="AE1914">
        <v>1.43</v>
      </c>
      <c r="AF1914">
        <v>3.6</v>
      </c>
      <c r="AG1914" t="str">
        <f>HYPERLINK("https://finance.naver.com/item/fchart.naver?code=014830", "유니드 차트보기")</f>
        <v>유니드 차트보기</v>
      </c>
    </row>
    <row r="1915" spans="1:33" x14ac:dyDescent="0.3">
      <c r="A1915" t="s">
        <v>7687</v>
      </c>
      <c r="B1915" t="s">
        <v>55</v>
      </c>
      <c r="C1915" t="s">
        <v>7688</v>
      </c>
      <c r="D1915">
        <v>314444.81</v>
      </c>
      <c r="E1915" t="s">
        <v>7689</v>
      </c>
      <c r="F1915">
        <v>0</v>
      </c>
      <c r="G1915">
        <v>0.27000001072883612</v>
      </c>
      <c r="H1915">
        <v>0</v>
      </c>
      <c r="I1915">
        <v>0</v>
      </c>
      <c r="J1915" t="s">
        <v>7690</v>
      </c>
      <c r="K1915">
        <v>761</v>
      </c>
      <c r="L1915">
        <v>525</v>
      </c>
      <c r="M1915">
        <v>-31.01</v>
      </c>
      <c r="N1915">
        <v>16.670000000000002</v>
      </c>
      <c r="O1915">
        <v>-14.83</v>
      </c>
      <c r="P1915">
        <v>-0.92</v>
      </c>
      <c r="Q1915">
        <v>-10.51</v>
      </c>
      <c r="R1915">
        <v>2.08</v>
      </c>
      <c r="S1915">
        <v>-19.940000000000001</v>
      </c>
      <c r="T1915">
        <v>5.61</v>
      </c>
      <c r="U1915">
        <v>2.76</v>
      </c>
      <c r="V1915">
        <v>1.85</v>
      </c>
      <c r="W1915">
        <v>4.26</v>
      </c>
      <c r="X1915">
        <v>2.98</v>
      </c>
      <c r="Y1915">
        <v>2.08</v>
      </c>
      <c r="Z1915">
        <v>2.97</v>
      </c>
      <c r="AA1915">
        <v>5.37</v>
      </c>
      <c r="AB1915">
        <v>0.5</v>
      </c>
      <c r="AC1915">
        <v>2.4700000000000002</v>
      </c>
      <c r="AD1915">
        <v>0.7</v>
      </c>
      <c r="AE1915">
        <v>9.59</v>
      </c>
      <c r="AF1915">
        <v>3.6</v>
      </c>
      <c r="AG1915" t="str">
        <f>HYPERLINK("https://finance.naver.com/item/fchart.naver?code=215790", "이노인스트루먼트 차트보기")</f>
        <v>이노인스트루먼트 차트보기</v>
      </c>
    </row>
    <row r="1916" spans="1:33" x14ac:dyDescent="0.3">
      <c r="A1916" t="s">
        <v>7691</v>
      </c>
      <c r="B1916" t="s">
        <v>34</v>
      </c>
      <c r="C1916" t="s">
        <v>7692</v>
      </c>
      <c r="D1916">
        <v>7009.62</v>
      </c>
      <c r="E1916" t="s">
        <v>7693</v>
      </c>
      <c r="F1916">
        <v>0</v>
      </c>
      <c r="G1916">
        <v>0</v>
      </c>
      <c r="H1916">
        <v>0</v>
      </c>
      <c r="I1916">
        <v>0</v>
      </c>
      <c r="J1916" t="s">
        <v>7694</v>
      </c>
      <c r="K1916">
        <v>1726</v>
      </c>
      <c r="L1916">
        <v>1221</v>
      </c>
      <c r="M1916">
        <v>-29.26</v>
      </c>
      <c r="N1916">
        <v>-7.78</v>
      </c>
      <c r="O1916">
        <v>-0.84</v>
      </c>
      <c r="P1916">
        <v>-2.76</v>
      </c>
      <c r="Q1916">
        <v>-5.18</v>
      </c>
      <c r="R1916">
        <v>-11.26</v>
      </c>
      <c r="S1916">
        <v>-4.87</v>
      </c>
      <c r="T1916">
        <v>5.8</v>
      </c>
      <c r="U1916">
        <v>1.87</v>
      </c>
      <c r="V1916">
        <v>1.25</v>
      </c>
      <c r="W1916">
        <v>1.2</v>
      </c>
      <c r="X1916">
        <v>1.49</v>
      </c>
      <c r="Y1916">
        <v>0.85</v>
      </c>
      <c r="Z1916">
        <v>1.34</v>
      </c>
      <c r="AA1916">
        <v>0.45</v>
      </c>
      <c r="AB1916">
        <v>2.21</v>
      </c>
      <c r="AC1916">
        <v>4.32</v>
      </c>
      <c r="AD1916">
        <v>7.56</v>
      </c>
      <c r="AE1916">
        <v>5.73</v>
      </c>
      <c r="AF1916">
        <v>3.601666666666667</v>
      </c>
      <c r="AG1916" t="str">
        <f>HYPERLINK("https://finance.naver.com/item/fchart.naver?code=004415", "서울식품우 차트보기")</f>
        <v>서울식품우 차트보기</v>
      </c>
    </row>
    <row r="1917" spans="1:33" x14ac:dyDescent="0.3">
      <c r="A1917" t="s">
        <v>7695</v>
      </c>
      <c r="B1917" t="s">
        <v>55</v>
      </c>
      <c r="C1917" t="s">
        <v>7696</v>
      </c>
      <c r="D1917">
        <v>38089.33</v>
      </c>
      <c r="E1917" t="s">
        <v>7697</v>
      </c>
      <c r="F1917">
        <v>7.41</v>
      </c>
      <c r="G1917">
        <v>0.68999999761581421</v>
      </c>
      <c r="H1917">
        <v>280</v>
      </c>
      <c r="I1917">
        <v>0</v>
      </c>
      <c r="J1917" t="s">
        <v>7698</v>
      </c>
      <c r="K1917">
        <v>2920</v>
      </c>
      <c r="L1917">
        <v>2075</v>
      </c>
      <c r="M1917">
        <v>-28.94</v>
      </c>
      <c r="N1917">
        <v>-0.24</v>
      </c>
      <c r="O1917">
        <v>-3.2</v>
      </c>
      <c r="P1917">
        <v>7.62</v>
      </c>
      <c r="Q1917">
        <v>-10.09</v>
      </c>
      <c r="R1917">
        <v>-17.149999999999999</v>
      </c>
      <c r="S1917">
        <v>-0.91</v>
      </c>
      <c r="T1917">
        <v>1.18</v>
      </c>
      <c r="U1917">
        <v>1.2</v>
      </c>
      <c r="V1917">
        <v>1.7</v>
      </c>
      <c r="W1917">
        <v>3.21</v>
      </c>
      <c r="X1917">
        <v>1.62</v>
      </c>
      <c r="Y1917">
        <v>1.73</v>
      </c>
      <c r="Z1917">
        <v>0.2</v>
      </c>
      <c r="AA1917">
        <v>2.67</v>
      </c>
      <c r="AB1917">
        <v>4.4800000000000004</v>
      </c>
      <c r="AC1917">
        <v>3.14</v>
      </c>
      <c r="AD1917">
        <v>10.59</v>
      </c>
      <c r="AE1917">
        <v>0.53</v>
      </c>
      <c r="AF1917">
        <v>3.601666666666667</v>
      </c>
      <c r="AG1917" t="str">
        <f>HYPERLINK("https://finance.naver.com/item/fchart.naver?code=068050", "팬엔터테인먼트 차트보기")</f>
        <v>팬엔터테인먼트 차트보기</v>
      </c>
    </row>
    <row r="1918" spans="1:33" x14ac:dyDescent="0.3">
      <c r="A1918" t="s">
        <v>7699</v>
      </c>
      <c r="B1918" t="s">
        <v>55</v>
      </c>
      <c r="C1918" t="s">
        <v>7700</v>
      </c>
      <c r="D1918">
        <v>52242.14</v>
      </c>
      <c r="E1918" t="s">
        <v>7701</v>
      </c>
      <c r="F1918">
        <v>0</v>
      </c>
      <c r="G1918">
        <v>0.43000000715255737</v>
      </c>
      <c r="H1918">
        <v>0</v>
      </c>
      <c r="I1918">
        <v>0</v>
      </c>
      <c r="J1918" t="s">
        <v>7702</v>
      </c>
      <c r="K1918">
        <v>3625</v>
      </c>
      <c r="L1918">
        <v>3010</v>
      </c>
      <c r="M1918">
        <v>-16.97</v>
      </c>
      <c r="N1918">
        <v>0.67</v>
      </c>
      <c r="O1918">
        <v>2.93</v>
      </c>
      <c r="P1918">
        <v>-0.52</v>
      </c>
      <c r="Q1918">
        <v>5.07</v>
      </c>
      <c r="R1918">
        <v>-10.33</v>
      </c>
      <c r="S1918">
        <v>-15.3</v>
      </c>
      <c r="T1918">
        <v>0.64</v>
      </c>
      <c r="U1918">
        <v>2.41</v>
      </c>
      <c r="V1918">
        <v>4.08</v>
      </c>
      <c r="W1918">
        <v>8.07</v>
      </c>
      <c r="X1918">
        <v>1.39</v>
      </c>
      <c r="Y1918">
        <v>1.37</v>
      </c>
      <c r="Z1918">
        <v>1.05</v>
      </c>
      <c r="AA1918">
        <v>1.22</v>
      </c>
      <c r="AB1918">
        <v>0.13</v>
      </c>
      <c r="AC1918">
        <v>0.63</v>
      </c>
      <c r="AD1918">
        <v>7.43</v>
      </c>
      <c r="AE1918">
        <v>11.17</v>
      </c>
      <c r="AF1918">
        <v>3.605</v>
      </c>
      <c r="AG1918" t="str">
        <f>HYPERLINK("https://finance.naver.com/item/fchart.naver?code=028080", "휴맥스홀딩스 차트보기")</f>
        <v>휴맥스홀딩스 차트보기</v>
      </c>
    </row>
    <row r="1919" spans="1:33" x14ac:dyDescent="0.3">
      <c r="A1919" t="s">
        <v>7703</v>
      </c>
      <c r="B1919" t="s">
        <v>55</v>
      </c>
      <c r="C1919" t="s">
        <v>7704</v>
      </c>
      <c r="D1919">
        <v>3666619.95</v>
      </c>
      <c r="E1919" t="s">
        <v>7705</v>
      </c>
      <c r="F1919">
        <v>0</v>
      </c>
      <c r="G1919">
        <v>1.3999999761581421</v>
      </c>
      <c r="H1919">
        <v>0</v>
      </c>
      <c r="I1919">
        <v>0</v>
      </c>
      <c r="J1919" t="s">
        <v>7706</v>
      </c>
      <c r="K1919">
        <v>3125</v>
      </c>
      <c r="L1919">
        <v>1245</v>
      </c>
      <c r="M1919">
        <v>-60.16</v>
      </c>
      <c r="N1919">
        <v>3.66</v>
      </c>
      <c r="O1919">
        <v>-9.7799999999999994</v>
      </c>
      <c r="P1919">
        <v>-7.07</v>
      </c>
      <c r="Q1919">
        <v>-33.08</v>
      </c>
      <c r="R1919">
        <v>-1.97</v>
      </c>
      <c r="S1919">
        <v>-25.85</v>
      </c>
      <c r="T1919">
        <v>2.06</v>
      </c>
      <c r="U1919">
        <v>4.51</v>
      </c>
      <c r="V1919">
        <v>3.06</v>
      </c>
      <c r="W1919">
        <v>4.13</v>
      </c>
      <c r="X1919">
        <v>6</v>
      </c>
      <c r="Y1919">
        <v>3.67</v>
      </c>
      <c r="Z1919">
        <v>1.78</v>
      </c>
      <c r="AA1919">
        <v>2.17</v>
      </c>
      <c r="AB1919">
        <v>2.31</v>
      </c>
      <c r="AC1919">
        <v>8.01</v>
      </c>
      <c r="AD1919">
        <v>0.33</v>
      </c>
      <c r="AE1919">
        <v>7.04</v>
      </c>
      <c r="AF1919">
        <v>3.6066666666666669</v>
      </c>
      <c r="AG1919" t="str">
        <f>HYPERLINK("https://finance.naver.com/item/fchart.naver?code=090710", "휴림로봇 차트보기")</f>
        <v>휴림로봇 차트보기</v>
      </c>
    </row>
    <row r="1920" spans="1:33" x14ac:dyDescent="0.3">
      <c r="A1920" t="s">
        <v>7707</v>
      </c>
      <c r="B1920" t="s">
        <v>55</v>
      </c>
      <c r="C1920" t="s">
        <v>7708</v>
      </c>
      <c r="D1920">
        <v>22981.71</v>
      </c>
      <c r="E1920" t="s">
        <v>7709</v>
      </c>
      <c r="F1920">
        <v>7.62</v>
      </c>
      <c r="G1920">
        <v>0.49000000953674322</v>
      </c>
      <c r="H1920">
        <v>430</v>
      </c>
      <c r="I1920">
        <v>1.529999971389771</v>
      </c>
      <c r="J1920" t="s">
        <v>7710</v>
      </c>
      <c r="K1920">
        <v>4830</v>
      </c>
      <c r="L1920">
        <v>3275</v>
      </c>
      <c r="M1920">
        <v>-32.19</v>
      </c>
      <c r="N1920">
        <v>-0.91</v>
      </c>
      <c r="O1920">
        <v>-3.88</v>
      </c>
      <c r="P1920">
        <v>-2.66</v>
      </c>
      <c r="Q1920">
        <v>-16.57</v>
      </c>
      <c r="R1920">
        <v>-5.91</v>
      </c>
      <c r="S1920">
        <v>-6.05</v>
      </c>
      <c r="T1920">
        <v>0.98</v>
      </c>
      <c r="U1920">
        <v>0.87</v>
      </c>
      <c r="V1920">
        <v>1.75</v>
      </c>
      <c r="W1920">
        <v>3.52</v>
      </c>
      <c r="X1920">
        <v>1.04</v>
      </c>
      <c r="Y1920">
        <v>1.39</v>
      </c>
      <c r="Z1920">
        <v>0.93</v>
      </c>
      <c r="AA1920">
        <v>4.46</v>
      </c>
      <c r="AB1920">
        <v>1.52</v>
      </c>
      <c r="AC1920">
        <v>4.71</v>
      </c>
      <c r="AD1920">
        <v>5.68</v>
      </c>
      <c r="AE1920">
        <v>4.3499999999999996</v>
      </c>
      <c r="AF1920">
        <v>3.6083333333333329</v>
      </c>
      <c r="AG1920" t="str">
        <f>HYPERLINK("https://finance.naver.com/item/fchart.naver?code=187270", "신화콘텍 차트보기")</f>
        <v>신화콘텍 차트보기</v>
      </c>
    </row>
    <row r="1921" spans="1:33" x14ac:dyDescent="0.3">
      <c r="A1921" t="s">
        <v>7711</v>
      </c>
      <c r="B1921" t="s">
        <v>34</v>
      </c>
      <c r="C1921" t="s">
        <v>7712</v>
      </c>
      <c r="D1921">
        <v>352034.81</v>
      </c>
      <c r="E1921" t="s">
        <v>7713</v>
      </c>
      <c r="F1921">
        <v>7.58</v>
      </c>
      <c r="G1921">
        <v>0.43000000715255737</v>
      </c>
      <c r="H1921">
        <v>2678</v>
      </c>
      <c r="I1921">
        <v>3.4500000476837158</v>
      </c>
      <c r="J1921" t="s">
        <v>7714</v>
      </c>
      <c r="K1921">
        <v>18150</v>
      </c>
      <c r="L1921">
        <v>20300</v>
      </c>
      <c r="M1921">
        <v>11.85</v>
      </c>
      <c r="N1921">
        <v>2.63</v>
      </c>
      <c r="O1921">
        <v>-8.24</v>
      </c>
      <c r="P1921">
        <v>-15.85</v>
      </c>
      <c r="Q1921">
        <v>13.57</v>
      </c>
      <c r="R1921">
        <v>27.92</v>
      </c>
      <c r="S1921">
        <v>5.94</v>
      </c>
      <c r="T1921">
        <v>3.32</v>
      </c>
      <c r="U1921">
        <v>2.75</v>
      </c>
      <c r="V1921">
        <v>3.79</v>
      </c>
      <c r="W1921">
        <v>5.39</v>
      </c>
      <c r="X1921">
        <v>3.27</v>
      </c>
      <c r="Y1921">
        <v>2.2599999999999998</v>
      </c>
      <c r="Z1921">
        <v>0.79</v>
      </c>
      <c r="AA1921">
        <v>3</v>
      </c>
      <c r="AB1921">
        <v>4.18</v>
      </c>
      <c r="AC1921">
        <v>2.52</v>
      </c>
      <c r="AD1921">
        <v>8.5399999999999991</v>
      </c>
      <c r="AE1921">
        <v>2.63</v>
      </c>
      <c r="AF1921">
        <v>3.61</v>
      </c>
      <c r="AG1921" t="str">
        <f>HYPERLINK("https://finance.naver.com/item/fchart.naver?code=294870", "HDC현대산업개발 차트보기")</f>
        <v>HDC현대산업개발 차트보기</v>
      </c>
    </row>
    <row r="1922" spans="1:33" x14ac:dyDescent="0.3">
      <c r="A1922" t="s">
        <v>7715</v>
      </c>
      <c r="B1922" t="s">
        <v>55</v>
      </c>
      <c r="C1922" t="s">
        <v>7716</v>
      </c>
      <c r="D1922">
        <v>6124.9</v>
      </c>
      <c r="E1922" t="s">
        <v>7717</v>
      </c>
      <c r="F1922">
        <v>14.5</v>
      </c>
      <c r="G1922">
        <v>0.99000000953674316</v>
      </c>
      <c r="H1922">
        <v>1603</v>
      </c>
      <c r="I1922">
        <v>1.5099999904632571</v>
      </c>
      <c r="J1922" t="s">
        <v>7718</v>
      </c>
      <c r="K1922">
        <v>28550</v>
      </c>
      <c r="L1922">
        <v>23250</v>
      </c>
      <c r="M1922">
        <v>-18.559999999999999</v>
      </c>
      <c r="N1922">
        <v>-3.12</v>
      </c>
      <c r="O1922">
        <v>-9.9600000000000009</v>
      </c>
      <c r="P1922">
        <v>1.89</v>
      </c>
      <c r="Q1922">
        <v>-0.94</v>
      </c>
      <c r="R1922">
        <v>-5.88</v>
      </c>
      <c r="S1922">
        <v>-1.06</v>
      </c>
      <c r="T1922">
        <v>0.89</v>
      </c>
      <c r="U1922">
        <v>1.08</v>
      </c>
      <c r="V1922">
        <v>0.89</v>
      </c>
      <c r="W1922">
        <v>3.03</v>
      </c>
      <c r="X1922">
        <v>0.99</v>
      </c>
      <c r="Y1922">
        <v>1.89</v>
      </c>
      <c r="Z1922">
        <v>3.51</v>
      </c>
      <c r="AA1922">
        <v>9.2200000000000006</v>
      </c>
      <c r="AB1922">
        <v>2.12</v>
      </c>
      <c r="AC1922">
        <v>0.31</v>
      </c>
      <c r="AD1922">
        <v>5.94</v>
      </c>
      <c r="AE1922">
        <v>0.56000000000000005</v>
      </c>
      <c r="AF1922">
        <v>3.61</v>
      </c>
      <c r="AG1922" t="str">
        <f>HYPERLINK("https://finance.naver.com/item/fchart.naver?code=100120", "뷰웍스 차트보기")</f>
        <v>뷰웍스 차트보기</v>
      </c>
    </row>
    <row r="1923" spans="1:33" x14ac:dyDescent="0.3">
      <c r="A1923" t="s">
        <v>7719</v>
      </c>
      <c r="B1923" t="s">
        <v>55</v>
      </c>
      <c r="C1923" t="s">
        <v>7720</v>
      </c>
      <c r="D1923">
        <v>874420.62</v>
      </c>
      <c r="E1923" t="s">
        <v>7721</v>
      </c>
      <c r="F1923">
        <v>0</v>
      </c>
      <c r="G1923">
        <v>0.67000001668930054</v>
      </c>
      <c r="H1923">
        <v>0</v>
      </c>
      <c r="I1923">
        <v>1.679999947547913</v>
      </c>
      <c r="J1923" t="s">
        <v>7722</v>
      </c>
      <c r="K1923">
        <v>9820</v>
      </c>
      <c r="L1923">
        <v>8080</v>
      </c>
      <c r="M1923">
        <v>-17.72</v>
      </c>
      <c r="N1923">
        <v>-12.08</v>
      </c>
      <c r="O1923">
        <v>9.94</v>
      </c>
      <c r="P1923">
        <v>-8.14</v>
      </c>
      <c r="Q1923">
        <v>3.33</v>
      </c>
      <c r="R1923">
        <v>-1.51</v>
      </c>
      <c r="S1923">
        <v>-6.92</v>
      </c>
      <c r="T1923">
        <v>2.75</v>
      </c>
      <c r="U1923">
        <v>4.57</v>
      </c>
      <c r="V1923">
        <v>1.49</v>
      </c>
      <c r="W1923">
        <v>3.43</v>
      </c>
      <c r="X1923">
        <v>1.43</v>
      </c>
      <c r="Y1923">
        <v>0.91</v>
      </c>
      <c r="Z1923">
        <v>4.3899999999999997</v>
      </c>
      <c r="AA1923">
        <v>2.1800000000000002</v>
      </c>
      <c r="AB1923">
        <v>5.46</v>
      </c>
      <c r="AC1923">
        <v>0.97</v>
      </c>
      <c r="AD1923">
        <v>1.06</v>
      </c>
      <c r="AE1923">
        <v>7.6</v>
      </c>
      <c r="AF1923">
        <v>3.6100000000000012</v>
      </c>
      <c r="AG1923" t="str">
        <f>HYPERLINK("https://finance.naver.com/item/fchart.naver?code=046890", "서울반도체 차트보기")</f>
        <v>서울반도체 차트보기</v>
      </c>
    </row>
    <row r="1924" spans="1:33" x14ac:dyDescent="0.3">
      <c r="A1924" t="s">
        <v>7723</v>
      </c>
      <c r="B1924" t="s">
        <v>55</v>
      </c>
      <c r="C1924" t="s">
        <v>7724</v>
      </c>
      <c r="D1924">
        <v>98995.14</v>
      </c>
      <c r="E1924" t="s">
        <v>7725</v>
      </c>
      <c r="F1924">
        <v>0</v>
      </c>
      <c r="G1924">
        <v>2</v>
      </c>
      <c r="H1924">
        <v>0</v>
      </c>
      <c r="I1924">
        <v>0</v>
      </c>
      <c r="J1924" t="s">
        <v>7726</v>
      </c>
      <c r="K1924">
        <v>2410</v>
      </c>
      <c r="L1924">
        <v>1780</v>
      </c>
      <c r="M1924">
        <v>-26.14</v>
      </c>
      <c r="N1924">
        <v>-3.16</v>
      </c>
      <c r="O1924">
        <v>-9.52</v>
      </c>
      <c r="P1924">
        <v>-5.86</v>
      </c>
      <c r="Q1924">
        <v>5.49</v>
      </c>
      <c r="R1924">
        <v>-13.63</v>
      </c>
      <c r="S1924">
        <v>5.33</v>
      </c>
      <c r="T1924">
        <v>2.13</v>
      </c>
      <c r="U1924">
        <v>1.44</v>
      </c>
      <c r="V1924">
        <v>1.91</v>
      </c>
      <c r="W1924">
        <v>4.82</v>
      </c>
      <c r="X1924">
        <v>1.64</v>
      </c>
      <c r="Y1924">
        <v>5.0199999999999996</v>
      </c>
      <c r="Z1924">
        <v>1.48</v>
      </c>
      <c r="AA1924">
        <v>6.61</v>
      </c>
      <c r="AB1924">
        <v>3.07</v>
      </c>
      <c r="AC1924">
        <v>1.1399999999999999</v>
      </c>
      <c r="AD1924">
        <v>8.31</v>
      </c>
      <c r="AE1924">
        <v>1.06</v>
      </c>
      <c r="AF1924">
        <v>3.6116666666666659</v>
      </c>
      <c r="AG1924" t="str">
        <f>HYPERLINK("https://finance.naver.com/item/fchart.naver?code=254120", "자비스 차트보기")</f>
        <v>자비스 차트보기</v>
      </c>
    </row>
    <row r="1925" spans="1:33" x14ac:dyDescent="0.3">
      <c r="A1925" t="s">
        <v>7727</v>
      </c>
      <c r="B1925" t="s">
        <v>55</v>
      </c>
      <c r="C1925" t="s">
        <v>7728</v>
      </c>
      <c r="D1925">
        <v>19322.240000000002</v>
      </c>
      <c r="E1925" t="s">
        <v>7729</v>
      </c>
      <c r="F1925">
        <v>0</v>
      </c>
      <c r="G1925">
        <v>0.62000000476837158</v>
      </c>
      <c r="H1925">
        <v>0</v>
      </c>
      <c r="I1925">
        <v>0</v>
      </c>
      <c r="J1925" t="s">
        <v>7730</v>
      </c>
      <c r="K1925">
        <v>3115</v>
      </c>
      <c r="L1925">
        <v>1575</v>
      </c>
      <c r="M1925">
        <v>-49.44</v>
      </c>
      <c r="N1925">
        <v>-1.62</v>
      </c>
      <c r="O1925">
        <v>-6.43</v>
      </c>
      <c r="P1925">
        <v>1.39</v>
      </c>
      <c r="Q1925">
        <v>-13.55</v>
      </c>
      <c r="R1925">
        <v>-19.760000000000002</v>
      </c>
      <c r="S1925">
        <v>1.43</v>
      </c>
      <c r="T1925">
        <v>0.71</v>
      </c>
      <c r="U1925">
        <v>1.26</v>
      </c>
      <c r="V1925">
        <v>2.2999999999999998</v>
      </c>
      <c r="W1925">
        <v>9.17</v>
      </c>
      <c r="X1925">
        <v>1.76</v>
      </c>
      <c r="Y1925">
        <v>1.46</v>
      </c>
      <c r="Z1925">
        <v>2.2799999999999998</v>
      </c>
      <c r="AA1925">
        <v>5.0999999999999996</v>
      </c>
      <c r="AB1925">
        <v>0.6</v>
      </c>
      <c r="AC1925">
        <v>1.48</v>
      </c>
      <c r="AD1925">
        <v>11.23</v>
      </c>
      <c r="AE1925">
        <v>0.98</v>
      </c>
      <c r="AF1925">
        <v>3.6116666666666659</v>
      </c>
      <c r="AG1925" t="str">
        <f>HYPERLINK("https://finance.naver.com/item/fchart.naver?code=052860", "아이앤씨 차트보기")</f>
        <v>아이앤씨 차트보기</v>
      </c>
    </row>
    <row r="1926" spans="1:33" x14ac:dyDescent="0.3">
      <c r="A1926" t="s">
        <v>7731</v>
      </c>
      <c r="B1926" t="s">
        <v>34</v>
      </c>
      <c r="C1926" t="s">
        <v>7732</v>
      </c>
      <c r="D1926">
        <v>63371.71</v>
      </c>
      <c r="E1926" t="s">
        <v>7733</v>
      </c>
      <c r="F1926">
        <v>5.41</v>
      </c>
      <c r="G1926">
        <v>1.120000004768372</v>
      </c>
      <c r="H1926">
        <v>11193</v>
      </c>
      <c r="I1926">
        <v>0.6600000262260437</v>
      </c>
      <c r="J1926" t="s">
        <v>7734</v>
      </c>
      <c r="K1926">
        <v>123200</v>
      </c>
      <c r="L1926">
        <v>60500</v>
      </c>
      <c r="M1926">
        <v>-50.89</v>
      </c>
      <c r="N1926">
        <v>-12.32</v>
      </c>
      <c r="O1926">
        <v>-1.38</v>
      </c>
      <c r="P1926">
        <v>4.62</v>
      </c>
      <c r="Q1926">
        <v>-15.72</v>
      </c>
      <c r="R1926">
        <v>-16.920000000000002</v>
      </c>
      <c r="S1926">
        <v>5.91</v>
      </c>
      <c r="T1926">
        <v>5.65</v>
      </c>
      <c r="U1926">
        <v>2.33</v>
      </c>
      <c r="V1926">
        <v>2.72</v>
      </c>
      <c r="W1926">
        <v>3.24</v>
      </c>
      <c r="X1926">
        <v>1.64</v>
      </c>
      <c r="Y1926">
        <v>2.91</v>
      </c>
      <c r="Z1926">
        <v>2.1800000000000002</v>
      </c>
      <c r="AA1926">
        <v>0.59</v>
      </c>
      <c r="AB1926">
        <v>1.7</v>
      </c>
      <c r="AC1926">
        <v>4.8499999999999996</v>
      </c>
      <c r="AD1926">
        <v>10.32</v>
      </c>
      <c r="AE1926">
        <v>2.0299999999999998</v>
      </c>
      <c r="AF1926">
        <v>3.6116666666666668</v>
      </c>
      <c r="AG1926" t="str">
        <f>HYPERLINK("https://finance.naver.com/item/fchart.naver?code=145720", "덴티움 차트보기")</f>
        <v>덴티움 차트보기</v>
      </c>
    </row>
    <row r="1927" spans="1:33" x14ac:dyDescent="0.3">
      <c r="A1927" t="s">
        <v>7735</v>
      </c>
      <c r="B1927" t="s">
        <v>55</v>
      </c>
      <c r="C1927" t="s">
        <v>7736</v>
      </c>
      <c r="D1927">
        <v>159109.57</v>
      </c>
      <c r="E1927" t="s">
        <v>7737</v>
      </c>
      <c r="F1927">
        <v>0</v>
      </c>
      <c r="G1927">
        <v>0.75</v>
      </c>
      <c r="H1927">
        <v>0</v>
      </c>
      <c r="I1927">
        <v>0</v>
      </c>
      <c r="J1927" t="s">
        <v>7738</v>
      </c>
      <c r="K1927">
        <v>415</v>
      </c>
      <c r="L1927">
        <v>1065</v>
      </c>
      <c r="M1927">
        <v>156.63</v>
      </c>
      <c r="N1927">
        <v>-4.83</v>
      </c>
      <c r="O1927">
        <v>-9.5399999999999991</v>
      </c>
      <c r="P1927">
        <v>-24.82</v>
      </c>
      <c r="Q1927">
        <v>281.77999999999997</v>
      </c>
      <c r="R1927">
        <v>-11.18</v>
      </c>
      <c r="S1927">
        <v>13.29</v>
      </c>
      <c r="T1927">
        <v>3.68</v>
      </c>
      <c r="U1927">
        <v>2.84</v>
      </c>
      <c r="V1927">
        <v>3.87</v>
      </c>
      <c r="W1927">
        <v>113.47</v>
      </c>
      <c r="X1927">
        <v>2</v>
      </c>
      <c r="Y1927">
        <v>5.26</v>
      </c>
      <c r="Z1927">
        <v>1.31</v>
      </c>
      <c r="AA1927">
        <v>3.36</v>
      </c>
      <c r="AB1927">
        <v>6.41</v>
      </c>
      <c r="AC1927">
        <v>2.48</v>
      </c>
      <c r="AD1927">
        <v>5.59</v>
      </c>
      <c r="AE1927">
        <v>2.5299999999999998</v>
      </c>
      <c r="AF1927">
        <v>3.6133333333333328</v>
      </c>
      <c r="AG1927" t="str">
        <f>HYPERLINK("https://finance.naver.com/item/fchart.naver?code=060260", "뉴보텍 차트보기")</f>
        <v>뉴보텍 차트보기</v>
      </c>
    </row>
    <row r="1928" spans="1:33" x14ac:dyDescent="0.3">
      <c r="A1928" t="s">
        <v>7739</v>
      </c>
      <c r="B1928" t="s">
        <v>55</v>
      </c>
      <c r="C1928" t="s">
        <v>7740</v>
      </c>
      <c r="D1928">
        <v>31112.71</v>
      </c>
      <c r="E1928" t="s">
        <v>7741</v>
      </c>
      <c r="F1928">
        <v>23.17</v>
      </c>
      <c r="G1928">
        <v>0.55000001192092896</v>
      </c>
      <c r="H1928">
        <v>82</v>
      </c>
      <c r="I1928">
        <v>0</v>
      </c>
      <c r="J1928" t="s">
        <v>7742</v>
      </c>
      <c r="K1928">
        <v>2815</v>
      </c>
      <c r="L1928">
        <v>1900</v>
      </c>
      <c r="M1928">
        <v>-32.5</v>
      </c>
      <c r="N1928">
        <v>-4.8600000000000003</v>
      </c>
      <c r="O1928">
        <v>-8.5399999999999991</v>
      </c>
      <c r="P1928">
        <v>-2.84</v>
      </c>
      <c r="Q1928">
        <v>-8.98</v>
      </c>
      <c r="R1928">
        <v>-2.71</v>
      </c>
      <c r="S1928">
        <v>-4.04</v>
      </c>
      <c r="T1928">
        <v>2.4900000000000002</v>
      </c>
      <c r="U1928">
        <v>1.1599999999999999</v>
      </c>
      <c r="V1928">
        <v>1.62</v>
      </c>
      <c r="W1928">
        <v>2.34</v>
      </c>
      <c r="X1928">
        <v>0.97</v>
      </c>
      <c r="Y1928">
        <v>1.01</v>
      </c>
      <c r="Z1928">
        <v>1.95</v>
      </c>
      <c r="AA1928">
        <v>7.36</v>
      </c>
      <c r="AB1928">
        <v>1.75</v>
      </c>
      <c r="AC1928">
        <v>3.84</v>
      </c>
      <c r="AD1928">
        <v>2.79</v>
      </c>
      <c r="AE1928">
        <v>4</v>
      </c>
      <c r="AF1928">
        <v>3.6150000000000002</v>
      </c>
      <c r="AG1928" t="str">
        <f>HYPERLINK("https://finance.naver.com/item/fchart.naver?code=033310", "엠투엔 차트보기")</f>
        <v>엠투엔 차트보기</v>
      </c>
    </row>
    <row r="1929" spans="1:33" x14ac:dyDescent="0.3">
      <c r="A1929" t="s">
        <v>7743</v>
      </c>
      <c r="B1929" t="s">
        <v>34</v>
      </c>
      <c r="C1929" t="s">
        <v>7744</v>
      </c>
      <c r="D1929">
        <v>26500.33</v>
      </c>
      <c r="E1929" t="s">
        <v>7745</v>
      </c>
      <c r="F1929">
        <v>0</v>
      </c>
      <c r="G1929">
        <v>1.8999999761581421</v>
      </c>
      <c r="H1929">
        <v>0</v>
      </c>
      <c r="I1929">
        <v>0</v>
      </c>
      <c r="J1929" t="s">
        <v>7746</v>
      </c>
      <c r="K1929">
        <v>4275</v>
      </c>
      <c r="L1929">
        <v>2700</v>
      </c>
      <c r="M1929">
        <v>-36.840000000000003</v>
      </c>
      <c r="N1929">
        <v>-6.25</v>
      </c>
      <c r="O1929">
        <v>-4.76</v>
      </c>
      <c r="P1929">
        <v>2.91</v>
      </c>
      <c r="Q1929">
        <v>-13.88</v>
      </c>
      <c r="R1929">
        <v>4.84</v>
      </c>
      <c r="S1929">
        <v>-11.33</v>
      </c>
      <c r="T1929">
        <v>2.11</v>
      </c>
      <c r="U1929">
        <v>2.4300000000000002</v>
      </c>
      <c r="V1929">
        <v>2.5499999999999998</v>
      </c>
      <c r="W1929">
        <v>3.11</v>
      </c>
      <c r="X1929">
        <v>2.44</v>
      </c>
      <c r="Y1929">
        <v>1.23</v>
      </c>
      <c r="Z1929">
        <v>2.96</v>
      </c>
      <c r="AA1929">
        <v>1.96</v>
      </c>
      <c r="AB1929">
        <v>1.1399999999999999</v>
      </c>
      <c r="AC1929">
        <v>4.46</v>
      </c>
      <c r="AD1929">
        <v>1.98</v>
      </c>
      <c r="AE1929">
        <v>9.2100000000000009</v>
      </c>
      <c r="AF1929">
        <v>3.6183333333333341</v>
      </c>
      <c r="AG1929" t="str">
        <f>HYPERLINK("https://finance.naver.com/item/fchart.naver?code=011230", "삼화전자 차트보기")</f>
        <v>삼화전자 차트보기</v>
      </c>
    </row>
    <row r="1930" spans="1:33" x14ac:dyDescent="0.3">
      <c r="A1930" t="s">
        <v>7747</v>
      </c>
      <c r="B1930" t="s">
        <v>34</v>
      </c>
      <c r="C1930" t="s">
        <v>7748</v>
      </c>
      <c r="D1930">
        <v>581976.86</v>
      </c>
      <c r="E1930" t="s">
        <v>7749</v>
      </c>
      <c r="F1930">
        <v>19.649999999999999</v>
      </c>
      <c r="G1930">
        <v>1.5</v>
      </c>
      <c r="H1930">
        <v>811</v>
      </c>
      <c r="I1930">
        <v>0.75</v>
      </c>
      <c r="J1930" t="s">
        <v>7750</v>
      </c>
      <c r="K1930">
        <v>17330</v>
      </c>
      <c r="L1930">
        <v>15940</v>
      </c>
      <c r="M1930">
        <v>-8.02</v>
      </c>
      <c r="N1930">
        <v>-8.18</v>
      </c>
      <c r="O1930">
        <v>-11.39</v>
      </c>
      <c r="P1930">
        <v>2.83</v>
      </c>
      <c r="Q1930">
        <v>42.83</v>
      </c>
      <c r="R1930">
        <v>-14.62</v>
      </c>
      <c r="S1930">
        <v>-2.88</v>
      </c>
      <c r="T1930">
        <v>4.03</v>
      </c>
      <c r="U1930">
        <v>2.5099999999999998</v>
      </c>
      <c r="V1930">
        <v>6.49</v>
      </c>
      <c r="W1930">
        <v>8.76</v>
      </c>
      <c r="X1930">
        <v>1.73</v>
      </c>
      <c r="Y1930">
        <v>2.11</v>
      </c>
      <c r="Z1930">
        <v>2.0299999999999998</v>
      </c>
      <c r="AA1930">
        <v>4.54</v>
      </c>
      <c r="AB1930">
        <v>0.44</v>
      </c>
      <c r="AC1930">
        <v>4.8899999999999997</v>
      </c>
      <c r="AD1930">
        <v>8.4499999999999993</v>
      </c>
      <c r="AE1930">
        <v>1.36</v>
      </c>
      <c r="AF1930">
        <v>3.6183333333333341</v>
      </c>
      <c r="AG1930" t="str">
        <f>HYPERLINK("https://finance.naver.com/item/fchart.naver?code=011500", "한농화성 차트보기")</f>
        <v>한농화성 차트보기</v>
      </c>
    </row>
    <row r="1931" spans="1:33" x14ac:dyDescent="0.3">
      <c r="A1931" t="s">
        <v>7751</v>
      </c>
      <c r="B1931" t="s">
        <v>55</v>
      </c>
      <c r="C1931" t="s">
        <v>7752</v>
      </c>
      <c r="D1931">
        <v>137833.04999999999</v>
      </c>
      <c r="E1931" t="s">
        <v>7753</v>
      </c>
      <c r="F1931">
        <v>0</v>
      </c>
      <c r="G1931">
        <v>0.43000000715255737</v>
      </c>
      <c r="H1931">
        <v>0</v>
      </c>
      <c r="I1931">
        <v>0</v>
      </c>
      <c r="J1931" t="s">
        <v>7754</v>
      </c>
      <c r="K1931">
        <v>1070</v>
      </c>
      <c r="L1931">
        <v>646</v>
      </c>
      <c r="M1931">
        <v>-39.630000000000003</v>
      </c>
      <c r="N1931">
        <v>-14.55</v>
      </c>
      <c r="O1931">
        <v>-2.4</v>
      </c>
      <c r="P1931">
        <v>-2.96</v>
      </c>
      <c r="Q1931">
        <v>-5.49</v>
      </c>
      <c r="R1931">
        <v>-8.25</v>
      </c>
      <c r="S1931">
        <v>-13.33</v>
      </c>
      <c r="T1931">
        <v>2.5099999999999998</v>
      </c>
      <c r="U1931">
        <v>0.69</v>
      </c>
      <c r="V1931">
        <v>2.11</v>
      </c>
      <c r="W1931">
        <v>2.98</v>
      </c>
      <c r="X1931">
        <v>2.09</v>
      </c>
      <c r="Y1931">
        <v>2.54</v>
      </c>
      <c r="Z1931">
        <v>5.8</v>
      </c>
      <c r="AA1931">
        <v>3.48</v>
      </c>
      <c r="AB1931">
        <v>1.4</v>
      </c>
      <c r="AC1931">
        <v>1.84</v>
      </c>
      <c r="AD1931">
        <v>3.95</v>
      </c>
      <c r="AE1931">
        <v>5.25</v>
      </c>
      <c r="AF1931">
        <v>3.62</v>
      </c>
      <c r="AG1931" t="str">
        <f>HYPERLINK("https://finance.naver.com/item/fchart.naver?code=032800", "판타지오 차트보기")</f>
        <v>판타지오 차트보기</v>
      </c>
    </row>
    <row r="1932" spans="1:33" x14ac:dyDescent="0.3">
      <c r="A1932" t="s">
        <v>7755</v>
      </c>
      <c r="B1932" t="s">
        <v>34</v>
      </c>
      <c r="C1932" t="s">
        <v>7756</v>
      </c>
      <c r="D1932">
        <v>12673.48</v>
      </c>
      <c r="E1932" t="s">
        <v>7757</v>
      </c>
      <c r="F1932">
        <v>0</v>
      </c>
      <c r="G1932">
        <v>0.56000000238418579</v>
      </c>
      <c r="H1932">
        <v>0</v>
      </c>
      <c r="I1932">
        <v>0</v>
      </c>
      <c r="J1932" t="s">
        <v>7758</v>
      </c>
      <c r="K1932">
        <v>1948</v>
      </c>
      <c r="L1932">
        <v>1620</v>
      </c>
      <c r="M1932">
        <v>-16.84</v>
      </c>
      <c r="N1932">
        <v>3.85</v>
      </c>
      <c r="O1932">
        <v>-2.75</v>
      </c>
      <c r="P1932">
        <v>-3.34</v>
      </c>
      <c r="Q1932">
        <v>-21.94</v>
      </c>
      <c r="R1932">
        <v>29.22</v>
      </c>
      <c r="S1932">
        <v>-7.17</v>
      </c>
      <c r="T1932">
        <v>1.43</v>
      </c>
      <c r="U1932">
        <v>1.31</v>
      </c>
      <c r="V1932">
        <v>2.17</v>
      </c>
      <c r="W1932">
        <v>3.5</v>
      </c>
      <c r="X1932">
        <v>3.55</v>
      </c>
      <c r="Y1932">
        <v>7.99</v>
      </c>
      <c r="Z1932">
        <v>2.69</v>
      </c>
      <c r="AA1932">
        <v>2.1</v>
      </c>
      <c r="AB1932">
        <v>1.54</v>
      </c>
      <c r="AC1932">
        <v>6.27</v>
      </c>
      <c r="AD1932">
        <v>8.23</v>
      </c>
      <c r="AE1932">
        <v>0.9</v>
      </c>
      <c r="AF1932">
        <v>3.6216666666666661</v>
      </c>
      <c r="AG1932" t="str">
        <f>HYPERLINK("https://finance.naver.com/item/fchart.naver?code=090370", "메타랩스 차트보기")</f>
        <v>메타랩스 차트보기</v>
      </c>
    </row>
    <row r="1933" spans="1:33" x14ac:dyDescent="0.3">
      <c r="A1933" t="s">
        <v>7759</v>
      </c>
      <c r="B1933" t="s">
        <v>55</v>
      </c>
      <c r="C1933" t="s">
        <v>7760</v>
      </c>
      <c r="D1933">
        <v>22699.48</v>
      </c>
      <c r="E1933" t="s">
        <v>7761</v>
      </c>
      <c r="F1933">
        <v>0</v>
      </c>
      <c r="G1933">
        <v>10.579999923706049</v>
      </c>
      <c r="H1933">
        <v>0</v>
      </c>
      <c r="I1933">
        <v>0</v>
      </c>
      <c r="J1933" t="s">
        <v>7762</v>
      </c>
      <c r="K1933">
        <v>6090</v>
      </c>
      <c r="L1933">
        <v>4950</v>
      </c>
      <c r="M1933">
        <v>-18.72</v>
      </c>
      <c r="N1933">
        <v>15.52</v>
      </c>
      <c r="O1933">
        <v>-16.57</v>
      </c>
      <c r="P1933">
        <v>-3.78</v>
      </c>
      <c r="Q1933">
        <v>-8.73</v>
      </c>
      <c r="R1933">
        <v>-11.34</v>
      </c>
      <c r="S1933">
        <v>11.95</v>
      </c>
      <c r="T1933">
        <v>4.96</v>
      </c>
      <c r="U1933">
        <v>3.38</v>
      </c>
      <c r="V1933">
        <v>1.66</v>
      </c>
      <c r="W1933">
        <v>5.1100000000000003</v>
      </c>
      <c r="X1933">
        <v>2.63</v>
      </c>
      <c r="Y1933">
        <v>2.21</v>
      </c>
      <c r="Z1933">
        <v>3.13</v>
      </c>
      <c r="AA1933">
        <v>4.9000000000000004</v>
      </c>
      <c r="AB1933">
        <v>2.2799999999999998</v>
      </c>
      <c r="AC1933">
        <v>1.71</v>
      </c>
      <c r="AD1933">
        <v>4.3099999999999996</v>
      </c>
      <c r="AE1933">
        <v>5.41</v>
      </c>
      <c r="AF1933">
        <v>3.6233333333333331</v>
      </c>
      <c r="AG1933" t="str">
        <f>HYPERLINK("https://finance.naver.com/item/fchart.naver?code=246720", "아스타 차트보기")</f>
        <v>아스타 차트보기</v>
      </c>
    </row>
    <row r="1934" spans="1:33" x14ac:dyDescent="0.3">
      <c r="A1934" t="s">
        <v>7763</v>
      </c>
      <c r="B1934" t="s">
        <v>34</v>
      </c>
      <c r="C1934" t="s">
        <v>7764</v>
      </c>
      <c r="D1934">
        <v>32142.14</v>
      </c>
      <c r="E1934" t="s">
        <v>7765</v>
      </c>
      <c r="F1934">
        <v>0</v>
      </c>
      <c r="G1934">
        <v>0.2800000011920929</v>
      </c>
      <c r="H1934">
        <v>0</v>
      </c>
      <c r="I1934">
        <v>5.679999828338623</v>
      </c>
      <c r="J1934" t="s">
        <v>7766</v>
      </c>
      <c r="K1934">
        <v>3100</v>
      </c>
      <c r="L1934">
        <v>2640</v>
      </c>
      <c r="M1934">
        <v>-14.84</v>
      </c>
      <c r="N1934">
        <v>-5.04</v>
      </c>
      <c r="O1934">
        <v>-6.51</v>
      </c>
      <c r="P1934">
        <v>-3.34</v>
      </c>
      <c r="Q1934">
        <v>-1.57</v>
      </c>
      <c r="R1934">
        <v>3.42</v>
      </c>
      <c r="S1934">
        <v>-2.99</v>
      </c>
      <c r="T1934">
        <v>1.1499999999999999</v>
      </c>
      <c r="U1934">
        <v>0.62</v>
      </c>
      <c r="V1934">
        <v>1.41</v>
      </c>
      <c r="W1934">
        <v>2.46</v>
      </c>
      <c r="X1934">
        <v>1.33</v>
      </c>
      <c r="Y1934">
        <v>2.34</v>
      </c>
      <c r="Z1934">
        <v>4.38</v>
      </c>
      <c r="AA1934">
        <v>10.5</v>
      </c>
      <c r="AB1934">
        <v>2.37</v>
      </c>
      <c r="AC1934">
        <v>0.64</v>
      </c>
      <c r="AD1934">
        <v>2.57</v>
      </c>
      <c r="AE1934">
        <v>1.28</v>
      </c>
      <c r="AF1934">
        <v>3.623333333333334</v>
      </c>
      <c r="AG1934" t="str">
        <f>HYPERLINK("https://finance.naver.com/item/fchart.naver?code=030210", "다올투자증권 차트보기")</f>
        <v>다올투자증권 차트보기</v>
      </c>
    </row>
    <row r="1935" spans="1:33" x14ac:dyDescent="0.3">
      <c r="A1935" t="s">
        <v>7767</v>
      </c>
      <c r="B1935" t="s">
        <v>55</v>
      </c>
      <c r="C1935" t="s">
        <v>7768</v>
      </c>
      <c r="D1935">
        <v>45942.29</v>
      </c>
      <c r="E1935" t="s">
        <v>7769</v>
      </c>
      <c r="F1935">
        <v>0</v>
      </c>
      <c r="G1935">
        <v>1.320000052452087</v>
      </c>
      <c r="H1935">
        <v>0</v>
      </c>
      <c r="I1935">
        <v>0</v>
      </c>
      <c r="J1935" t="s">
        <v>7770</v>
      </c>
      <c r="K1935">
        <v>47000</v>
      </c>
      <c r="L1935">
        <v>27400</v>
      </c>
      <c r="M1935">
        <v>-41.7</v>
      </c>
      <c r="N1935">
        <v>-7.28</v>
      </c>
      <c r="O1935">
        <v>-15.2</v>
      </c>
      <c r="P1935">
        <v>12</v>
      </c>
      <c r="Q1935">
        <v>-4.83</v>
      </c>
      <c r="R1935">
        <v>-20.74</v>
      </c>
      <c r="S1935">
        <v>-5.41</v>
      </c>
      <c r="T1935">
        <v>3.48</v>
      </c>
      <c r="U1935">
        <v>4.46</v>
      </c>
      <c r="V1935">
        <v>6.34</v>
      </c>
      <c r="W1935">
        <v>4.7</v>
      </c>
      <c r="X1935">
        <v>1.82</v>
      </c>
      <c r="Y1935">
        <v>2.81</v>
      </c>
      <c r="Z1935">
        <v>2.09</v>
      </c>
      <c r="AA1935">
        <v>3.41</v>
      </c>
      <c r="AB1935">
        <v>1.89</v>
      </c>
      <c r="AC1935">
        <v>1.03</v>
      </c>
      <c r="AD1935">
        <v>11.4</v>
      </c>
      <c r="AE1935">
        <v>1.93</v>
      </c>
      <c r="AF1935">
        <v>3.625</v>
      </c>
      <c r="AG1935" t="str">
        <f>HYPERLINK("https://finance.naver.com/item/fchart.naver?code=354320", "알멕 차트보기")</f>
        <v>알멕 차트보기</v>
      </c>
    </row>
    <row r="1936" spans="1:33" x14ac:dyDescent="0.3">
      <c r="A1936" t="s">
        <v>7771</v>
      </c>
      <c r="B1936" t="s">
        <v>34</v>
      </c>
      <c r="C1936" t="s">
        <v>7772</v>
      </c>
      <c r="D1936">
        <v>33623.9</v>
      </c>
      <c r="E1936" t="s">
        <v>7773</v>
      </c>
      <c r="F1936">
        <v>11.55</v>
      </c>
      <c r="G1936">
        <v>1.370000004768372</v>
      </c>
      <c r="H1936">
        <v>5604</v>
      </c>
      <c r="I1936">
        <v>4.1700000762939453</v>
      </c>
      <c r="J1936" t="s">
        <v>7774</v>
      </c>
      <c r="K1936">
        <v>62500</v>
      </c>
      <c r="L1936">
        <v>64700</v>
      </c>
      <c r="M1936">
        <v>3.52</v>
      </c>
      <c r="N1936">
        <v>0.62</v>
      </c>
      <c r="O1936">
        <v>14.13</v>
      </c>
      <c r="P1936">
        <v>2.78</v>
      </c>
      <c r="Q1936">
        <v>5.14</v>
      </c>
      <c r="R1936">
        <v>-4.09</v>
      </c>
      <c r="S1936">
        <v>-7.64</v>
      </c>
      <c r="T1936">
        <v>0.81</v>
      </c>
      <c r="U1936">
        <v>1.94</v>
      </c>
      <c r="V1936">
        <v>1.55</v>
      </c>
      <c r="W1936">
        <v>1.1599999999999999</v>
      </c>
      <c r="X1936">
        <v>1.34</v>
      </c>
      <c r="Y1936">
        <v>1.72</v>
      </c>
      <c r="Z1936">
        <v>0.77</v>
      </c>
      <c r="AA1936">
        <v>7.28</v>
      </c>
      <c r="AB1936">
        <v>1.79</v>
      </c>
      <c r="AC1936">
        <v>4.43</v>
      </c>
      <c r="AD1936">
        <v>3.05</v>
      </c>
      <c r="AE1936">
        <v>4.4400000000000004</v>
      </c>
      <c r="AF1936">
        <v>3.6266666666666669</v>
      </c>
      <c r="AG1936" t="str">
        <f>HYPERLINK("https://finance.naver.com/item/fchart.naver?code=012750", "에스원 차트보기")</f>
        <v>에스원 차트보기</v>
      </c>
    </row>
    <row r="1937" spans="1:33" x14ac:dyDescent="0.3">
      <c r="A1937" t="s">
        <v>7775</v>
      </c>
      <c r="B1937" t="s">
        <v>34</v>
      </c>
      <c r="C1937" t="s">
        <v>7776</v>
      </c>
      <c r="D1937">
        <v>69611.570000000007</v>
      </c>
      <c r="E1937" t="s">
        <v>7777</v>
      </c>
      <c r="F1937">
        <v>11.25</v>
      </c>
      <c r="G1937">
        <v>0.43999999761581421</v>
      </c>
      <c r="H1937">
        <v>1423</v>
      </c>
      <c r="I1937">
        <v>4.679999828338623</v>
      </c>
      <c r="J1937" t="s">
        <v>7778</v>
      </c>
      <c r="K1937">
        <v>14770</v>
      </c>
      <c r="L1937">
        <v>16010</v>
      </c>
      <c r="M1937">
        <v>8.4</v>
      </c>
      <c r="N1937">
        <v>-5.04</v>
      </c>
      <c r="O1937">
        <v>8.31</v>
      </c>
      <c r="P1937">
        <v>3.92</v>
      </c>
      <c r="Q1937">
        <v>4.13</v>
      </c>
      <c r="R1937">
        <v>-1.32</v>
      </c>
      <c r="S1937">
        <v>2.56</v>
      </c>
      <c r="T1937">
        <v>1.18</v>
      </c>
      <c r="U1937">
        <v>0.95</v>
      </c>
      <c r="V1937">
        <v>1.39</v>
      </c>
      <c r="W1937">
        <v>1.58</v>
      </c>
      <c r="X1937">
        <v>0.78</v>
      </c>
      <c r="Y1937">
        <v>1.57</v>
      </c>
      <c r="Z1937">
        <v>4.2699999999999996</v>
      </c>
      <c r="AA1937">
        <v>8.75</v>
      </c>
      <c r="AB1937">
        <v>2.82</v>
      </c>
      <c r="AC1937">
        <v>2.61</v>
      </c>
      <c r="AD1937">
        <v>1.69</v>
      </c>
      <c r="AE1937">
        <v>1.63</v>
      </c>
      <c r="AF1937">
        <v>3.628333333333333</v>
      </c>
      <c r="AG1937" t="str">
        <f>HYPERLINK("https://finance.naver.com/item/fchart.naver?code=001800", "오리온홀딩스 차트보기")</f>
        <v>오리온홀딩스 차트보기</v>
      </c>
    </row>
    <row r="1938" spans="1:33" x14ac:dyDescent="0.3">
      <c r="A1938" t="s">
        <v>7779</v>
      </c>
      <c r="B1938" t="s">
        <v>34</v>
      </c>
      <c r="C1938" t="s">
        <v>7780</v>
      </c>
      <c r="D1938">
        <v>21099.48</v>
      </c>
      <c r="E1938" t="s">
        <v>7781</v>
      </c>
      <c r="F1938">
        <v>12.23</v>
      </c>
      <c r="G1938">
        <v>0.64999997615814209</v>
      </c>
      <c r="H1938">
        <v>610</v>
      </c>
      <c r="I1938">
        <v>0</v>
      </c>
      <c r="J1938" t="s">
        <v>7782</v>
      </c>
      <c r="K1938">
        <v>6270</v>
      </c>
      <c r="L1938">
        <v>7460</v>
      </c>
      <c r="M1938">
        <v>18.98</v>
      </c>
      <c r="N1938">
        <v>18.41</v>
      </c>
      <c r="O1938">
        <v>1.91</v>
      </c>
      <c r="P1938">
        <v>-5.35</v>
      </c>
      <c r="Q1938">
        <v>-8.93</v>
      </c>
      <c r="R1938">
        <v>25.28</v>
      </c>
      <c r="S1938">
        <v>-6.48</v>
      </c>
      <c r="T1938">
        <v>6.4</v>
      </c>
      <c r="U1938">
        <v>1.24</v>
      </c>
      <c r="V1938">
        <v>1.88</v>
      </c>
      <c r="W1938">
        <v>3.64</v>
      </c>
      <c r="X1938">
        <v>3.41</v>
      </c>
      <c r="Y1938">
        <v>1.39</v>
      </c>
      <c r="Z1938">
        <v>2.88</v>
      </c>
      <c r="AA1938">
        <v>1.54</v>
      </c>
      <c r="AB1938">
        <v>2.85</v>
      </c>
      <c r="AC1938">
        <v>2.4500000000000002</v>
      </c>
      <c r="AD1938">
        <v>7.41</v>
      </c>
      <c r="AE1938">
        <v>4.66</v>
      </c>
      <c r="AF1938">
        <v>3.6316666666666659</v>
      </c>
      <c r="AG1938" t="str">
        <f>HYPERLINK("https://finance.naver.com/item/fchart.naver?code=001260", "남광토건 차트보기")</f>
        <v>남광토건 차트보기</v>
      </c>
    </row>
    <row r="1939" spans="1:33" x14ac:dyDescent="0.3">
      <c r="A1939" t="s">
        <v>7783</v>
      </c>
      <c r="B1939" t="s">
        <v>55</v>
      </c>
      <c r="C1939" t="s">
        <v>7784</v>
      </c>
      <c r="D1939">
        <v>9050.0499999999993</v>
      </c>
      <c r="E1939" t="s">
        <v>7785</v>
      </c>
      <c r="F1939">
        <v>0</v>
      </c>
      <c r="G1939">
        <v>0.75</v>
      </c>
      <c r="H1939">
        <v>0</v>
      </c>
      <c r="I1939">
        <v>0</v>
      </c>
      <c r="J1939" t="s">
        <v>7786</v>
      </c>
      <c r="K1939">
        <v>2015</v>
      </c>
      <c r="L1939">
        <v>1551</v>
      </c>
      <c r="M1939">
        <v>-23.03</v>
      </c>
      <c r="N1939">
        <v>-2.7</v>
      </c>
      <c r="O1939">
        <v>-1.85</v>
      </c>
      <c r="P1939">
        <v>1.3</v>
      </c>
      <c r="Q1939">
        <v>-11.24</v>
      </c>
      <c r="R1939">
        <v>-7.28</v>
      </c>
      <c r="S1939">
        <v>-0.97</v>
      </c>
      <c r="T1939">
        <v>0.56999999999999995</v>
      </c>
      <c r="U1939">
        <v>0.38</v>
      </c>
      <c r="V1939">
        <v>0.92</v>
      </c>
      <c r="W1939">
        <v>3.88</v>
      </c>
      <c r="X1939">
        <v>1.08</v>
      </c>
      <c r="Y1939">
        <v>0.86</v>
      </c>
      <c r="Z1939">
        <v>4.74</v>
      </c>
      <c r="AA1939">
        <v>4.87</v>
      </c>
      <c r="AB1939">
        <v>1.41</v>
      </c>
      <c r="AC1939">
        <v>2.9</v>
      </c>
      <c r="AD1939">
        <v>6.74</v>
      </c>
      <c r="AE1939">
        <v>1.1299999999999999</v>
      </c>
      <c r="AF1939">
        <v>3.6316666666666659</v>
      </c>
      <c r="AG1939" t="str">
        <f>HYPERLINK("https://finance.naver.com/item/fchart.naver?code=123750", "알톤 차트보기")</f>
        <v>알톤 차트보기</v>
      </c>
    </row>
    <row r="1940" spans="1:33" x14ac:dyDescent="0.3">
      <c r="A1940" t="s">
        <v>7787</v>
      </c>
      <c r="B1940" t="s">
        <v>55</v>
      </c>
      <c r="C1940" t="s">
        <v>7788</v>
      </c>
      <c r="D1940">
        <v>373519.24</v>
      </c>
      <c r="E1940" t="s">
        <v>7789</v>
      </c>
      <c r="F1940">
        <v>10.74</v>
      </c>
      <c r="G1940">
        <v>1.419999957084656</v>
      </c>
      <c r="H1940">
        <v>102</v>
      </c>
      <c r="I1940">
        <v>0</v>
      </c>
      <c r="J1940" t="s">
        <v>7790</v>
      </c>
      <c r="K1940">
        <v>1716</v>
      </c>
      <c r="L1940">
        <v>1095</v>
      </c>
      <c r="M1940">
        <v>-36.19</v>
      </c>
      <c r="N1940">
        <v>-5.19</v>
      </c>
      <c r="O1940">
        <v>-5.32</v>
      </c>
      <c r="P1940">
        <v>7.86</v>
      </c>
      <c r="Q1940">
        <v>-2.89</v>
      </c>
      <c r="R1940">
        <v>-12.3</v>
      </c>
      <c r="S1940">
        <v>-14.81</v>
      </c>
      <c r="T1940">
        <v>2.73</v>
      </c>
      <c r="U1940">
        <v>1.97</v>
      </c>
      <c r="V1940">
        <v>3.93</v>
      </c>
      <c r="W1940">
        <v>3.1</v>
      </c>
      <c r="X1940">
        <v>1.59</v>
      </c>
      <c r="Y1940">
        <v>2.27</v>
      </c>
      <c r="Z1940">
        <v>1.9</v>
      </c>
      <c r="AA1940">
        <v>2.7</v>
      </c>
      <c r="AB1940">
        <v>2</v>
      </c>
      <c r="AC1940">
        <v>0.93</v>
      </c>
      <c r="AD1940">
        <v>7.74</v>
      </c>
      <c r="AE1940">
        <v>6.52</v>
      </c>
      <c r="AF1940">
        <v>3.6316666666666659</v>
      </c>
      <c r="AG1940" t="str">
        <f>HYPERLINK("https://finance.naver.com/item/fchart.naver?code=359090", "씨엔알리서치 차트보기")</f>
        <v>씨엔알리서치 차트보기</v>
      </c>
    </row>
    <row r="1941" spans="1:33" x14ac:dyDescent="0.3">
      <c r="A1941" t="s">
        <v>7791</v>
      </c>
      <c r="B1941" t="s">
        <v>55</v>
      </c>
      <c r="C1941" t="s">
        <v>7792</v>
      </c>
      <c r="D1941">
        <v>1546824.43</v>
      </c>
      <c r="E1941" t="s">
        <v>7793</v>
      </c>
      <c r="F1941">
        <v>0</v>
      </c>
      <c r="G1941">
        <v>0.62999999523162842</v>
      </c>
      <c r="H1941">
        <v>0</v>
      </c>
      <c r="I1941">
        <v>0</v>
      </c>
      <c r="J1941" t="s">
        <v>7794</v>
      </c>
      <c r="K1941">
        <v>1870</v>
      </c>
      <c r="L1941">
        <v>1085</v>
      </c>
      <c r="M1941">
        <v>-41.98</v>
      </c>
      <c r="N1941">
        <v>-10.55</v>
      </c>
      <c r="O1941">
        <v>-16.8</v>
      </c>
      <c r="P1941">
        <v>12.96</v>
      </c>
      <c r="Q1941">
        <v>-19.59</v>
      </c>
      <c r="R1941">
        <v>10.65</v>
      </c>
      <c r="S1941">
        <v>-12.05</v>
      </c>
      <c r="T1941">
        <v>4.74</v>
      </c>
      <c r="U1941">
        <v>2.0499999999999998</v>
      </c>
      <c r="V1941">
        <v>5.18</v>
      </c>
      <c r="W1941">
        <v>6.08</v>
      </c>
      <c r="X1941">
        <v>6.75</v>
      </c>
      <c r="Y1941">
        <v>2.94</v>
      </c>
      <c r="Z1941">
        <v>2.23</v>
      </c>
      <c r="AA1941">
        <v>8.1999999999999993</v>
      </c>
      <c r="AB1941">
        <v>2.5</v>
      </c>
      <c r="AC1941">
        <v>3.22</v>
      </c>
      <c r="AD1941">
        <v>1.58</v>
      </c>
      <c r="AE1941">
        <v>4.0999999999999996</v>
      </c>
      <c r="AF1941">
        <v>3.6383333333333332</v>
      </c>
      <c r="AG1941" t="str">
        <f>HYPERLINK("https://finance.naver.com/item/fchart.naver?code=099220", "SDN 차트보기")</f>
        <v>SDN 차트보기</v>
      </c>
    </row>
    <row r="1942" spans="1:33" x14ac:dyDescent="0.3">
      <c r="A1942" t="s">
        <v>7795</v>
      </c>
      <c r="B1942" t="s">
        <v>55</v>
      </c>
      <c r="C1942" t="s">
        <v>7796</v>
      </c>
      <c r="D1942">
        <v>117728.1</v>
      </c>
      <c r="E1942" t="s">
        <v>7797</v>
      </c>
      <c r="F1942">
        <v>0</v>
      </c>
      <c r="G1942">
        <v>0.81999999284744263</v>
      </c>
      <c r="H1942">
        <v>0</v>
      </c>
      <c r="I1942">
        <v>0</v>
      </c>
      <c r="J1942" t="s">
        <v>7798</v>
      </c>
      <c r="K1942">
        <v>2720</v>
      </c>
      <c r="L1942">
        <v>2120</v>
      </c>
      <c r="M1942">
        <v>-22.06</v>
      </c>
      <c r="N1942">
        <v>-6.4</v>
      </c>
      <c r="O1942">
        <v>-2.37</v>
      </c>
      <c r="P1942">
        <v>0.63</v>
      </c>
      <c r="Q1942">
        <v>-5.37</v>
      </c>
      <c r="R1942">
        <v>9.33</v>
      </c>
      <c r="S1942">
        <v>-13.74</v>
      </c>
      <c r="T1942">
        <v>1.1399999999999999</v>
      </c>
      <c r="U1942">
        <v>1.8</v>
      </c>
      <c r="V1942">
        <v>1.44</v>
      </c>
      <c r="W1942">
        <v>8.41</v>
      </c>
      <c r="X1942">
        <v>1.17</v>
      </c>
      <c r="Y1942">
        <v>2.34</v>
      </c>
      <c r="Z1942">
        <v>5.61</v>
      </c>
      <c r="AA1942">
        <v>1.32</v>
      </c>
      <c r="AB1942">
        <v>0.44</v>
      </c>
      <c r="AC1942">
        <v>0.64</v>
      </c>
      <c r="AD1942">
        <v>7.97</v>
      </c>
      <c r="AE1942">
        <v>5.87</v>
      </c>
      <c r="AF1942">
        <v>3.6416666666666671</v>
      </c>
      <c r="AG1942" t="str">
        <f>HYPERLINK("https://finance.naver.com/item/fchart.naver?code=065950", "웰크론 차트보기")</f>
        <v>웰크론 차트보기</v>
      </c>
    </row>
    <row r="1943" spans="1:33" x14ac:dyDescent="0.3">
      <c r="A1943" t="s">
        <v>7799</v>
      </c>
      <c r="B1943" t="s">
        <v>55</v>
      </c>
      <c r="C1943" t="s">
        <v>7800</v>
      </c>
      <c r="D1943">
        <v>33407.379999999997</v>
      </c>
      <c r="E1943" t="s">
        <v>7801</v>
      </c>
      <c r="F1943">
        <v>0</v>
      </c>
      <c r="G1943">
        <v>1.029999971389771</v>
      </c>
      <c r="H1943">
        <v>0</v>
      </c>
      <c r="I1943">
        <v>0</v>
      </c>
      <c r="J1943" t="s">
        <v>7802</v>
      </c>
      <c r="K1943">
        <v>1850</v>
      </c>
      <c r="L1943">
        <v>1281</v>
      </c>
      <c r="M1943">
        <v>-30.76</v>
      </c>
      <c r="N1943">
        <v>0.79</v>
      </c>
      <c r="O1943">
        <v>-9.94</v>
      </c>
      <c r="P1943">
        <v>0.91</v>
      </c>
      <c r="Q1943">
        <v>9.07</v>
      </c>
      <c r="R1943">
        <v>-3.67</v>
      </c>
      <c r="S1943">
        <v>-23.94</v>
      </c>
      <c r="T1943">
        <v>2.27</v>
      </c>
      <c r="U1943">
        <v>1.99</v>
      </c>
      <c r="V1943">
        <v>1.1599999999999999</v>
      </c>
      <c r="W1943">
        <v>3.61</v>
      </c>
      <c r="X1943">
        <v>2.4500000000000002</v>
      </c>
      <c r="Y1943">
        <v>2.04</v>
      </c>
      <c r="Z1943">
        <v>0.35</v>
      </c>
      <c r="AA1943">
        <v>4.99</v>
      </c>
      <c r="AB1943">
        <v>0.78</v>
      </c>
      <c r="AC1943">
        <v>2.5099999999999998</v>
      </c>
      <c r="AD1943">
        <v>1.5</v>
      </c>
      <c r="AE1943">
        <v>11.74</v>
      </c>
      <c r="AF1943">
        <v>3.645</v>
      </c>
      <c r="AG1943" t="str">
        <f>HYPERLINK("https://finance.naver.com/item/fchart.naver?code=256630", "포인트엔지니어링 차트보기")</f>
        <v>포인트엔지니어링 차트보기</v>
      </c>
    </row>
    <row r="1944" spans="1:33" x14ac:dyDescent="0.3">
      <c r="A1944" t="s">
        <v>7803</v>
      </c>
      <c r="B1944" t="s">
        <v>55</v>
      </c>
      <c r="C1944" t="s">
        <v>7804</v>
      </c>
      <c r="D1944">
        <v>188065.52</v>
      </c>
      <c r="E1944" t="s">
        <v>7805</v>
      </c>
      <c r="F1944">
        <v>0</v>
      </c>
      <c r="G1944">
        <v>1.2100000381469731</v>
      </c>
      <c r="H1944">
        <v>0</v>
      </c>
      <c r="I1944">
        <v>0</v>
      </c>
      <c r="J1944" t="s">
        <v>7806</v>
      </c>
      <c r="K1944">
        <v>8090</v>
      </c>
      <c r="L1944">
        <v>4135</v>
      </c>
      <c r="M1944">
        <v>-48.89</v>
      </c>
      <c r="N1944">
        <v>-4.72</v>
      </c>
      <c r="O1944">
        <v>-21.55</v>
      </c>
      <c r="P1944">
        <v>-7.32</v>
      </c>
      <c r="Q1944">
        <v>0.69</v>
      </c>
      <c r="R1944">
        <v>-19.52</v>
      </c>
      <c r="S1944">
        <v>-6.56</v>
      </c>
      <c r="T1944">
        <v>3.01</v>
      </c>
      <c r="U1944">
        <v>4.25</v>
      </c>
      <c r="V1944">
        <v>1.74</v>
      </c>
      <c r="W1944">
        <v>3.27</v>
      </c>
      <c r="X1944">
        <v>3.43</v>
      </c>
      <c r="Y1944">
        <v>1.28</v>
      </c>
      <c r="Z1944">
        <v>1.57</v>
      </c>
      <c r="AA1944">
        <v>5.07</v>
      </c>
      <c r="AB1944">
        <v>4.21</v>
      </c>
      <c r="AC1944">
        <v>0.21</v>
      </c>
      <c r="AD1944">
        <v>5.69</v>
      </c>
      <c r="AE1944">
        <v>5.12</v>
      </c>
      <c r="AF1944">
        <v>3.6450000000000009</v>
      </c>
      <c r="AG1944" t="str">
        <f>HYPERLINK("https://finance.naver.com/item/fchart.naver?code=093640", "케이알엠 차트보기")</f>
        <v>케이알엠 차트보기</v>
      </c>
    </row>
    <row r="1945" spans="1:33" x14ac:dyDescent="0.3">
      <c r="A1945" t="s">
        <v>7807</v>
      </c>
      <c r="B1945" t="s">
        <v>34</v>
      </c>
      <c r="C1945" t="s">
        <v>7808</v>
      </c>
      <c r="D1945">
        <v>758.43</v>
      </c>
      <c r="E1945" t="s">
        <v>7809</v>
      </c>
      <c r="F1945">
        <v>35.549999999999997</v>
      </c>
      <c r="G1945">
        <v>1.7599999904632571</v>
      </c>
      <c r="H1945">
        <v>3758</v>
      </c>
      <c r="I1945">
        <v>1.570000052452087</v>
      </c>
      <c r="J1945" t="s">
        <v>7810</v>
      </c>
      <c r="K1945">
        <v>150300</v>
      </c>
      <c r="L1945">
        <v>133600</v>
      </c>
      <c r="M1945">
        <v>-11.11</v>
      </c>
      <c r="N1945">
        <v>-5.1100000000000003</v>
      </c>
      <c r="O1945">
        <v>6.69</v>
      </c>
      <c r="P1945">
        <v>0.15</v>
      </c>
      <c r="Q1945">
        <v>-3.13</v>
      </c>
      <c r="R1945">
        <v>-4.93</v>
      </c>
      <c r="S1945">
        <v>-3.94</v>
      </c>
      <c r="T1945">
        <v>0.8</v>
      </c>
      <c r="U1945">
        <v>1.55</v>
      </c>
      <c r="V1945">
        <v>0.75</v>
      </c>
      <c r="W1945">
        <v>0.75</v>
      </c>
      <c r="X1945">
        <v>1.1100000000000001</v>
      </c>
      <c r="Y1945">
        <v>1.67</v>
      </c>
      <c r="Z1945">
        <v>6.39</v>
      </c>
      <c r="AA1945">
        <v>4.32</v>
      </c>
      <c r="AB1945">
        <v>0.2</v>
      </c>
      <c r="AC1945">
        <v>4.17</v>
      </c>
      <c r="AD1945">
        <v>4.4400000000000004</v>
      </c>
      <c r="AE1945">
        <v>2.36</v>
      </c>
      <c r="AF1945">
        <v>3.6466666666666669</v>
      </c>
      <c r="AG1945" t="str">
        <f>HYPERLINK("https://finance.naver.com/item/fchart.naver?code=268280", "미원에스씨 차트보기")</f>
        <v>미원에스씨 차트보기</v>
      </c>
    </row>
    <row r="1946" spans="1:33" x14ac:dyDescent="0.3">
      <c r="A1946" t="s">
        <v>7811</v>
      </c>
      <c r="B1946" t="s">
        <v>55</v>
      </c>
      <c r="C1946" t="s">
        <v>7812</v>
      </c>
      <c r="D1946">
        <v>1400879.05</v>
      </c>
      <c r="E1946" t="s">
        <v>7813</v>
      </c>
      <c r="F1946">
        <v>0</v>
      </c>
      <c r="G1946">
        <v>0.98000001907348633</v>
      </c>
      <c r="H1946">
        <v>0</v>
      </c>
      <c r="I1946">
        <v>0</v>
      </c>
      <c r="J1946" t="s">
        <v>7814</v>
      </c>
      <c r="K1946">
        <v>2265</v>
      </c>
      <c r="L1946">
        <v>2220</v>
      </c>
      <c r="M1946">
        <v>-1.99</v>
      </c>
      <c r="N1946">
        <v>-0.67</v>
      </c>
      <c r="O1946">
        <v>18.46</v>
      </c>
      <c r="P1946">
        <v>15.62</v>
      </c>
      <c r="Q1946">
        <v>-19.04</v>
      </c>
      <c r="R1946">
        <v>6.3</v>
      </c>
      <c r="S1946">
        <v>-10.119999999999999</v>
      </c>
      <c r="T1946">
        <v>3.11</v>
      </c>
      <c r="U1946">
        <v>3.7</v>
      </c>
      <c r="V1946">
        <v>5.82</v>
      </c>
      <c r="W1946">
        <v>4.04</v>
      </c>
      <c r="X1946">
        <v>2.5299999999999998</v>
      </c>
      <c r="Y1946">
        <v>1.49</v>
      </c>
      <c r="Z1946">
        <v>0.22</v>
      </c>
      <c r="AA1946">
        <v>4.99</v>
      </c>
      <c r="AB1946">
        <v>2.68</v>
      </c>
      <c r="AC1946">
        <v>4.71</v>
      </c>
      <c r="AD1946">
        <v>2.4900000000000002</v>
      </c>
      <c r="AE1946">
        <v>6.79</v>
      </c>
      <c r="AF1946">
        <v>3.6466666666666669</v>
      </c>
      <c r="AG1946" t="str">
        <f>HYPERLINK("https://finance.naver.com/item/fchart.naver?code=214270", "FSN 차트보기")</f>
        <v>FSN 차트보기</v>
      </c>
    </row>
    <row r="1947" spans="1:33" x14ac:dyDescent="0.3">
      <c r="A1947" t="s">
        <v>7815</v>
      </c>
      <c r="B1947" t="s">
        <v>55</v>
      </c>
      <c r="C1947" t="s">
        <v>7816</v>
      </c>
      <c r="D1947">
        <v>50460.14</v>
      </c>
      <c r="E1947" t="s">
        <v>7817</v>
      </c>
      <c r="F1947">
        <v>9.0299999999999994</v>
      </c>
      <c r="G1947">
        <v>1.370000004768372</v>
      </c>
      <c r="H1947">
        <v>445</v>
      </c>
      <c r="I1947">
        <v>2.9900000095367432</v>
      </c>
      <c r="J1947" t="s">
        <v>7818</v>
      </c>
      <c r="K1947">
        <v>5740</v>
      </c>
      <c r="L1947">
        <v>4020</v>
      </c>
      <c r="M1947">
        <v>-29.97</v>
      </c>
      <c r="N1947">
        <v>-3.71</v>
      </c>
      <c r="O1947">
        <v>-11.48</v>
      </c>
      <c r="P1947">
        <v>0.8</v>
      </c>
      <c r="Q1947">
        <v>-12.83</v>
      </c>
      <c r="R1947">
        <v>-12.81</v>
      </c>
      <c r="S1947">
        <v>-10.5</v>
      </c>
      <c r="T1947">
        <v>2.35</v>
      </c>
      <c r="U1947">
        <v>1.93</v>
      </c>
      <c r="V1947">
        <v>3.35</v>
      </c>
      <c r="W1947">
        <v>4.6500000000000004</v>
      </c>
      <c r="X1947">
        <v>1.85</v>
      </c>
      <c r="Y1947">
        <v>2.37</v>
      </c>
      <c r="Z1947">
        <v>1.58</v>
      </c>
      <c r="AA1947">
        <v>5.95</v>
      </c>
      <c r="AB1947">
        <v>0.24</v>
      </c>
      <c r="AC1947">
        <v>2.76</v>
      </c>
      <c r="AD1947">
        <v>6.92</v>
      </c>
      <c r="AE1947">
        <v>4.43</v>
      </c>
      <c r="AF1947">
        <v>3.6466666666666669</v>
      </c>
      <c r="AG1947" t="str">
        <f>HYPERLINK("https://finance.naver.com/item/fchart.naver?code=366030", "공구우먼 차트보기")</f>
        <v>공구우먼 차트보기</v>
      </c>
    </row>
    <row r="1948" spans="1:33" x14ac:dyDescent="0.3">
      <c r="A1948" t="s">
        <v>7819</v>
      </c>
      <c r="B1948" t="s">
        <v>55</v>
      </c>
      <c r="C1948" t="s">
        <v>7820</v>
      </c>
      <c r="D1948">
        <v>30728.62</v>
      </c>
      <c r="E1948" t="s">
        <v>7821</v>
      </c>
      <c r="F1948">
        <v>0</v>
      </c>
      <c r="G1948">
        <v>0.92000001668930054</v>
      </c>
      <c r="H1948">
        <v>0</v>
      </c>
      <c r="I1948">
        <v>0</v>
      </c>
      <c r="J1948" t="s">
        <v>7822</v>
      </c>
      <c r="K1948">
        <v>1128</v>
      </c>
      <c r="L1948">
        <v>749</v>
      </c>
      <c r="M1948">
        <v>-33.6</v>
      </c>
      <c r="N1948">
        <v>-8.44</v>
      </c>
      <c r="O1948">
        <v>4.24</v>
      </c>
      <c r="P1948">
        <v>1.1000000000000001</v>
      </c>
      <c r="Q1948">
        <v>-9.2200000000000006</v>
      </c>
      <c r="R1948">
        <v>-7.31</v>
      </c>
      <c r="S1948">
        <v>-4.41</v>
      </c>
      <c r="T1948">
        <v>1.54</v>
      </c>
      <c r="U1948">
        <v>2.12</v>
      </c>
      <c r="V1948">
        <v>1.82</v>
      </c>
      <c r="W1948">
        <v>3.14</v>
      </c>
      <c r="X1948">
        <v>0.95</v>
      </c>
      <c r="Y1948">
        <v>1.39</v>
      </c>
      <c r="Z1948">
        <v>5.48</v>
      </c>
      <c r="AA1948">
        <v>2</v>
      </c>
      <c r="AB1948">
        <v>0.6</v>
      </c>
      <c r="AC1948">
        <v>2.94</v>
      </c>
      <c r="AD1948">
        <v>7.69</v>
      </c>
      <c r="AE1948">
        <v>3.17</v>
      </c>
      <c r="AF1948">
        <v>3.6466666666666669</v>
      </c>
      <c r="AG1948" t="str">
        <f>HYPERLINK("https://finance.naver.com/item/fchart.naver?code=222420", "쎄노텍 차트보기")</f>
        <v>쎄노텍 차트보기</v>
      </c>
    </row>
    <row r="1949" spans="1:33" x14ac:dyDescent="0.3">
      <c r="A1949" t="s">
        <v>7823</v>
      </c>
      <c r="B1949" t="s">
        <v>34</v>
      </c>
      <c r="C1949" t="s">
        <v>7824</v>
      </c>
      <c r="D1949">
        <v>68450.52</v>
      </c>
      <c r="E1949" t="s">
        <v>7825</v>
      </c>
      <c r="F1949">
        <v>6.41</v>
      </c>
      <c r="G1949">
        <v>1.029999971389771</v>
      </c>
      <c r="H1949">
        <v>3692</v>
      </c>
      <c r="I1949">
        <v>0.41999998688697809</v>
      </c>
      <c r="J1949" t="s">
        <v>7826</v>
      </c>
      <c r="K1949">
        <v>18820</v>
      </c>
      <c r="L1949">
        <v>23650</v>
      </c>
      <c r="M1949">
        <v>25.66</v>
      </c>
      <c r="N1949">
        <v>-5.96</v>
      </c>
      <c r="O1949">
        <v>15.85</v>
      </c>
      <c r="P1949">
        <v>-7.84</v>
      </c>
      <c r="Q1949">
        <v>17.66</v>
      </c>
      <c r="R1949">
        <v>37.200000000000003</v>
      </c>
      <c r="S1949">
        <v>-5.7</v>
      </c>
      <c r="T1949">
        <v>2.89</v>
      </c>
      <c r="U1949">
        <v>3.72</v>
      </c>
      <c r="V1949">
        <v>2.63</v>
      </c>
      <c r="W1949">
        <v>3.51</v>
      </c>
      <c r="X1949">
        <v>6.73</v>
      </c>
      <c r="Y1949">
        <v>2.81</v>
      </c>
      <c r="Z1949">
        <v>2.06</v>
      </c>
      <c r="AA1949">
        <v>4.26</v>
      </c>
      <c r="AB1949">
        <v>2.98</v>
      </c>
      <c r="AC1949">
        <v>5.03</v>
      </c>
      <c r="AD1949">
        <v>5.53</v>
      </c>
      <c r="AE1949">
        <v>2.0299999999999998</v>
      </c>
      <c r="AF1949">
        <v>3.6483333333333339</v>
      </c>
      <c r="AG1949" t="str">
        <f>HYPERLINK("https://finance.naver.com/item/fchart.naver?code=003090", "대웅 차트보기")</f>
        <v>대웅 차트보기</v>
      </c>
    </row>
    <row r="1950" spans="1:33" x14ac:dyDescent="0.3">
      <c r="A1950" t="s">
        <v>7827</v>
      </c>
      <c r="B1950" t="s">
        <v>55</v>
      </c>
      <c r="C1950" t="s">
        <v>7828</v>
      </c>
      <c r="D1950">
        <v>17987.29</v>
      </c>
      <c r="E1950" t="s">
        <v>7829</v>
      </c>
      <c r="F1950">
        <v>5.07</v>
      </c>
      <c r="G1950">
        <v>0.97000002861022949</v>
      </c>
      <c r="H1950">
        <v>12973</v>
      </c>
      <c r="I1950">
        <v>6.8400001525878906</v>
      </c>
      <c r="J1950" t="s">
        <v>7830</v>
      </c>
      <c r="K1950">
        <v>78100</v>
      </c>
      <c r="L1950">
        <v>65800</v>
      </c>
      <c r="M1950">
        <v>-15.75</v>
      </c>
      <c r="N1950">
        <v>0.15</v>
      </c>
      <c r="O1950">
        <v>-7.58</v>
      </c>
      <c r="P1950">
        <v>4.3899999999999997</v>
      </c>
      <c r="Q1950">
        <v>-10.68</v>
      </c>
      <c r="R1950">
        <v>-4.42</v>
      </c>
      <c r="S1950">
        <v>5.46</v>
      </c>
      <c r="T1950">
        <v>1.9</v>
      </c>
      <c r="U1950">
        <v>1.21</v>
      </c>
      <c r="V1950">
        <v>1.61</v>
      </c>
      <c r="W1950">
        <v>2.4900000000000002</v>
      </c>
      <c r="X1950">
        <v>1.05</v>
      </c>
      <c r="Y1950">
        <v>1.26</v>
      </c>
      <c r="Z1950">
        <v>0.08</v>
      </c>
      <c r="AA1950">
        <v>6.26</v>
      </c>
      <c r="AB1950">
        <v>2.73</v>
      </c>
      <c r="AC1950">
        <v>4.29</v>
      </c>
      <c r="AD1950">
        <v>4.21</v>
      </c>
      <c r="AE1950">
        <v>4.33</v>
      </c>
      <c r="AF1950">
        <v>3.65</v>
      </c>
      <c r="AG1950" t="str">
        <f>HYPERLINK("https://finance.naver.com/item/fchart.naver?code=215000", "골프존 차트보기")</f>
        <v>골프존 차트보기</v>
      </c>
    </row>
    <row r="1951" spans="1:33" x14ac:dyDescent="0.3">
      <c r="A1951" t="s">
        <v>7831</v>
      </c>
      <c r="B1951" t="s">
        <v>34</v>
      </c>
      <c r="C1951" t="s">
        <v>7832</v>
      </c>
      <c r="D1951">
        <v>251325.19</v>
      </c>
      <c r="E1951" t="s">
        <v>7833</v>
      </c>
      <c r="F1951">
        <v>6.17</v>
      </c>
      <c r="G1951">
        <v>0.64999997615814209</v>
      </c>
      <c r="H1951">
        <v>298</v>
      </c>
      <c r="I1951">
        <v>0.54000002145767212</v>
      </c>
      <c r="J1951" t="s">
        <v>7834</v>
      </c>
      <c r="K1951">
        <v>2035</v>
      </c>
      <c r="L1951">
        <v>1839</v>
      </c>
      <c r="M1951">
        <v>-9.6300000000000008</v>
      </c>
      <c r="N1951">
        <v>6.42</v>
      </c>
      <c r="O1951">
        <v>3.88</v>
      </c>
      <c r="P1951">
        <v>-7.24</v>
      </c>
      <c r="Q1951">
        <v>-15.56</v>
      </c>
      <c r="R1951">
        <v>4.9000000000000004</v>
      </c>
      <c r="S1951">
        <v>-5.58</v>
      </c>
      <c r="T1951">
        <v>1.95</v>
      </c>
      <c r="U1951">
        <v>1.03</v>
      </c>
      <c r="V1951">
        <v>1.44</v>
      </c>
      <c r="W1951">
        <v>3.41</v>
      </c>
      <c r="X1951">
        <v>1.99</v>
      </c>
      <c r="Y1951">
        <v>2</v>
      </c>
      <c r="Z1951">
        <v>3.29</v>
      </c>
      <c r="AA1951">
        <v>3.77</v>
      </c>
      <c r="AB1951">
        <v>5.03</v>
      </c>
      <c r="AC1951">
        <v>4.5599999999999996</v>
      </c>
      <c r="AD1951">
        <v>2.46</v>
      </c>
      <c r="AE1951">
        <v>2.79</v>
      </c>
      <c r="AF1951">
        <v>3.65</v>
      </c>
      <c r="AG1951" t="str">
        <f>HYPERLINK("https://finance.naver.com/item/fchart.naver?code=017550", "수산중공업 차트보기")</f>
        <v>수산중공업 차트보기</v>
      </c>
    </row>
    <row r="1952" spans="1:33" x14ac:dyDescent="0.3">
      <c r="A1952" t="s">
        <v>7835</v>
      </c>
      <c r="B1952" t="s">
        <v>55</v>
      </c>
      <c r="C1952" t="s">
        <v>7836</v>
      </c>
      <c r="D1952">
        <v>45701.95</v>
      </c>
      <c r="E1952" t="s">
        <v>7837</v>
      </c>
      <c r="F1952">
        <v>0</v>
      </c>
      <c r="G1952">
        <v>1.379999995231628</v>
      </c>
      <c r="H1952">
        <v>0</v>
      </c>
      <c r="I1952">
        <v>0</v>
      </c>
      <c r="J1952" t="s">
        <v>7838</v>
      </c>
      <c r="K1952">
        <v>13140</v>
      </c>
      <c r="L1952">
        <v>5220</v>
      </c>
      <c r="M1952">
        <v>-60.27</v>
      </c>
      <c r="N1952">
        <v>-10.77</v>
      </c>
      <c r="O1952">
        <v>-11.54</v>
      </c>
      <c r="P1952">
        <v>-9.74</v>
      </c>
      <c r="Q1952">
        <v>-26.67</v>
      </c>
      <c r="R1952">
        <v>-20.73</v>
      </c>
      <c r="S1952">
        <v>20.399999999999999</v>
      </c>
      <c r="T1952">
        <v>2.39</v>
      </c>
      <c r="U1952">
        <v>2.46</v>
      </c>
      <c r="V1952">
        <v>3.74</v>
      </c>
      <c r="W1952">
        <v>6.23</v>
      </c>
      <c r="X1952">
        <v>6.62</v>
      </c>
      <c r="Y1952">
        <v>7.58</v>
      </c>
      <c r="Z1952">
        <v>4.51</v>
      </c>
      <c r="AA1952">
        <v>4.6900000000000004</v>
      </c>
      <c r="AB1952">
        <v>2.6</v>
      </c>
      <c r="AC1952">
        <v>4.28</v>
      </c>
      <c r="AD1952">
        <v>3.13</v>
      </c>
      <c r="AE1952">
        <v>2.69</v>
      </c>
      <c r="AF1952">
        <v>3.65</v>
      </c>
      <c r="AG1952" t="str">
        <f>HYPERLINK("https://finance.naver.com/item/fchart.naver?code=452160", "제이엔비 차트보기")</f>
        <v>제이엔비 차트보기</v>
      </c>
    </row>
    <row r="1953" spans="1:33" x14ac:dyDescent="0.3">
      <c r="A1953" t="s">
        <v>7839</v>
      </c>
      <c r="B1953" t="s">
        <v>55</v>
      </c>
      <c r="C1953" t="s">
        <v>7840</v>
      </c>
      <c r="D1953">
        <v>188555.95</v>
      </c>
      <c r="E1953" t="s">
        <v>7841</v>
      </c>
      <c r="F1953">
        <v>52.36</v>
      </c>
      <c r="G1953">
        <v>0.41999998688697809</v>
      </c>
      <c r="H1953">
        <v>14</v>
      </c>
      <c r="I1953">
        <v>0</v>
      </c>
      <c r="J1953" t="s">
        <v>7842</v>
      </c>
      <c r="K1953">
        <v>1051</v>
      </c>
      <c r="L1953">
        <v>733</v>
      </c>
      <c r="M1953">
        <v>-30.26</v>
      </c>
      <c r="N1953">
        <v>-7.68</v>
      </c>
      <c r="O1953">
        <v>-5.0199999999999996</v>
      </c>
      <c r="P1953">
        <v>-3.36</v>
      </c>
      <c r="Q1953">
        <v>-14.51</v>
      </c>
      <c r="R1953">
        <v>-10.88</v>
      </c>
      <c r="S1953">
        <v>6.63</v>
      </c>
      <c r="T1953">
        <v>2.62</v>
      </c>
      <c r="U1953">
        <v>1.28</v>
      </c>
      <c r="V1953">
        <v>1.35</v>
      </c>
      <c r="W1953">
        <v>3.54</v>
      </c>
      <c r="X1953">
        <v>1.96</v>
      </c>
      <c r="Y1953">
        <v>2.2799999999999998</v>
      </c>
      <c r="Z1953">
        <v>2.93</v>
      </c>
      <c r="AA1953">
        <v>3.92</v>
      </c>
      <c r="AB1953">
        <v>2.4900000000000002</v>
      </c>
      <c r="AC1953">
        <v>4.0999999999999996</v>
      </c>
      <c r="AD1953">
        <v>5.55</v>
      </c>
      <c r="AE1953">
        <v>2.91</v>
      </c>
      <c r="AF1953">
        <v>3.65</v>
      </c>
      <c r="AG1953" t="str">
        <f>HYPERLINK("https://finance.naver.com/item/fchart.naver?code=057540", "옴니시스템 차트보기")</f>
        <v>옴니시스템 차트보기</v>
      </c>
    </row>
    <row r="1954" spans="1:33" x14ac:dyDescent="0.3">
      <c r="A1954" t="s">
        <v>7843</v>
      </c>
      <c r="B1954" t="s">
        <v>55</v>
      </c>
      <c r="C1954" t="s">
        <v>7844</v>
      </c>
      <c r="D1954">
        <v>5462.38</v>
      </c>
      <c r="E1954" t="s">
        <v>7845</v>
      </c>
      <c r="F1954">
        <v>0</v>
      </c>
      <c r="G1954">
        <v>1.2899999618530269</v>
      </c>
      <c r="H1954">
        <v>0</v>
      </c>
      <c r="I1954">
        <v>0</v>
      </c>
      <c r="J1954" t="s">
        <v>7846</v>
      </c>
      <c r="K1954">
        <v>14140</v>
      </c>
      <c r="L1954">
        <v>10130</v>
      </c>
      <c r="M1954">
        <v>-28.36</v>
      </c>
      <c r="N1954">
        <v>-7.15</v>
      </c>
      <c r="O1954">
        <v>-8.56</v>
      </c>
      <c r="P1954">
        <v>-3.61</v>
      </c>
      <c r="Q1954">
        <v>0.16</v>
      </c>
      <c r="R1954">
        <v>0.48</v>
      </c>
      <c r="S1954">
        <v>-11.02</v>
      </c>
      <c r="T1954">
        <v>2.11</v>
      </c>
      <c r="U1954">
        <v>1.2</v>
      </c>
      <c r="V1954">
        <v>1.49</v>
      </c>
      <c r="W1954">
        <v>2.57</v>
      </c>
      <c r="X1954">
        <v>2.1800000000000002</v>
      </c>
      <c r="Y1954">
        <v>1.27</v>
      </c>
      <c r="Z1954">
        <v>3.39</v>
      </c>
      <c r="AA1954">
        <v>7.13</v>
      </c>
      <c r="AB1954">
        <v>2.42</v>
      </c>
      <c r="AC1954">
        <v>0.06</v>
      </c>
      <c r="AD1954">
        <v>0.22</v>
      </c>
      <c r="AE1954">
        <v>8.68</v>
      </c>
      <c r="AF1954">
        <v>3.65</v>
      </c>
      <c r="AG1954" t="str">
        <f>HYPERLINK("https://finance.naver.com/item/fchart.naver?code=311690", "CJ 바이오사이언스 차트보기")</f>
        <v>CJ 바이오사이언스 차트보기</v>
      </c>
    </row>
    <row r="1955" spans="1:33" x14ac:dyDescent="0.3">
      <c r="A1955" t="s">
        <v>7847</v>
      </c>
      <c r="B1955" t="s">
        <v>55</v>
      </c>
      <c r="C1955" t="s">
        <v>7848</v>
      </c>
      <c r="D1955">
        <v>24281.1</v>
      </c>
      <c r="E1955" t="s">
        <v>7849</v>
      </c>
      <c r="F1955">
        <v>4.6399999999999997</v>
      </c>
      <c r="G1955">
        <v>0.79000002145767212</v>
      </c>
      <c r="H1955">
        <v>1439</v>
      </c>
      <c r="I1955">
        <v>4.190000057220459</v>
      </c>
      <c r="J1955" t="s">
        <v>7850</v>
      </c>
      <c r="K1955">
        <v>9500</v>
      </c>
      <c r="L1955">
        <v>6680</v>
      </c>
      <c r="M1955">
        <v>-29.68</v>
      </c>
      <c r="N1955">
        <v>0</v>
      </c>
      <c r="O1955">
        <v>-3.93</v>
      </c>
      <c r="P1955">
        <v>0.99</v>
      </c>
      <c r="Q1955">
        <v>-13.81</v>
      </c>
      <c r="R1955">
        <v>-17.8</v>
      </c>
      <c r="S1955">
        <v>12.5</v>
      </c>
      <c r="T1955">
        <v>1.72</v>
      </c>
      <c r="U1955">
        <v>1.08</v>
      </c>
      <c r="V1955">
        <v>1.51</v>
      </c>
      <c r="W1955">
        <v>3.06</v>
      </c>
      <c r="X1955">
        <v>2.4</v>
      </c>
      <c r="Y1955">
        <v>2.2000000000000002</v>
      </c>
      <c r="Z1955">
        <v>0</v>
      </c>
      <c r="AA1955">
        <v>3.64</v>
      </c>
      <c r="AB1955">
        <v>0.66</v>
      </c>
      <c r="AC1955">
        <v>4.51</v>
      </c>
      <c r="AD1955">
        <v>7.42</v>
      </c>
      <c r="AE1955">
        <v>5.68</v>
      </c>
      <c r="AF1955">
        <v>3.651666666666666</v>
      </c>
      <c r="AG1955" t="str">
        <f>HYPERLINK("https://finance.naver.com/item/fchart.naver?code=089850", "유비벨록스 차트보기")</f>
        <v>유비벨록스 차트보기</v>
      </c>
    </row>
    <row r="1956" spans="1:33" x14ac:dyDescent="0.3">
      <c r="A1956" t="s">
        <v>7851</v>
      </c>
      <c r="B1956" t="s">
        <v>55</v>
      </c>
      <c r="C1956" t="s">
        <v>7852</v>
      </c>
      <c r="D1956">
        <v>2102640.67</v>
      </c>
      <c r="E1956" t="s">
        <v>7853</v>
      </c>
      <c r="F1956">
        <v>77.86</v>
      </c>
      <c r="G1956">
        <v>1.070000052452087</v>
      </c>
      <c r="H1956">
        <v>28</v>
      </c>
      <c r="I1956">
        <v>0</v>
      </c>
      <c r="J1956" t="s">
        <v>7854</v>
      </c>
      <c r="K1956">
        <v>2705</v>
      </c>
      <c r="L1956">
        <v>2180</v>
      </c>
      <c r="M1956">
        <v>-19.41</v>
      </c>
      <c r="N1956">
        <v>4.8099999999999996</v>
      </c>
      <c r="O1956">
        <v>-11.42</v>
      </c>
      <c r="P1956">
        <v>-0.21</v>
      </c>
      <c r="Q1956">
        <v>11.83</v>
      </c>
      <c r="R1956">
        <v>-16.829999999999998</v>
      </c>
      <c r="S1956">
        <v>-17.25</v>
      </c>
      <c r="T1956">
        <v>6.32</v>
      </c>
      <c r="U1956">
        <v>2.5499999999999998</v>
      </c>
      <c r="V1956">
        <v>5.09</v>
      </c>
      <c r="W1956">
        <v>7.28</v>
      </c>
      <c r="X1956">
        <v>1.74</v>
      </c>
      <c r="Y1956">
        <v>3.22</v>
      </c>
      <c r="Z1956">
        <v>0.76</v>
      </c>
      <c r="AA1956">
        <v>4.4800000000000004</v>
      </c>
      <c r="AB1956">
        <v>0.04</v>
      </c>
      <c r="AC1956">
        <v>1.62</v>
      </c>
      <c r="AD1956">
        <v>9.67</v>
      </c>
      <c r="AE1956">
        <v>5.36</v>
      </c>
      <c r="AF1956">
        <v>3.6549999999999998</v>
      </c>
      <c r="AG1956" t="str">
        <f>HYPERLINK("https://finance.naver.com/item/fchart.naver?code=131400", "이브이첨단소재 차트보기")</f>
        <v>이브이첨단소재 차트보기</v>
      </c>
    </row>
    <row r="1957" spans="1:33" x14ac:dyDescent="0.3">
      <c r="A1957" t="s">
        <v>7855</v>
      </c>
      <c r="B1957" t="s">
        <v>34</v>
      </c>
      <c r="C1957" t="s">
        <v>7856</v>
      </c>
      <c r="D1957">
        <v>891299.29</v>
      </c>
      <c r="E1957" t="s">
        <v>7857</v>
      </c>
      <c r="F1957">
        <v>14.03</v>
      </c>
      <c r="G1957">
        <v>0.92000001668930054</v>
      </c>
      <c r="H1957">
        <v>91</v>
      </c>
      <c r="I1957">
        <v>0</v>
      </c>
      <c r="J1957" t="s">
        <v>7858</v>
      </c>
      <c r="K1957">
        <v>1882</v>
      </c>
      <c r="L1957">
        <v>1277</v>
      </c>
      <c r="M1957">
        <v>-32.15</v>
      </c>
      <c r="N1957">
        <v>2.16</v>
      </c>
      <c r="O1957">
        <v>-0.23</v>
      </c>
      <c r="P1957">
        <v>-1.38</v>
      </c>
      <c r="Q1957">
        <v>-12.19</v>
      </c>
      <c r="R1957">
        <v>-13.8</v>
      </c>
      <c r="S1957">
        <v>-6.11</v>
      </c>
      <c r="T1957">
        <v>1.92</v>
      </c>
      <c r="U1957">
        <v>3.02</v>
      </c>
      <c r="V1957">
        <v>2.02</v>
      </c>
      <c r="W1957">
        <v>3.63</v>
      </c>
      <c r="X1957">
        <v>1.27</v>
      </c>
      <c r="Y1957">
        <v>1.05</v>
      </c>
      <c r="Z1957">
        <v>1.1299999999999999</v>
      </c>
      <c r="AA1957">
        <v>0.08</v>
      </c>
      <c r="AB1957">
        <v>0.68</v>
      </c>
      <c r="AC1957">
        <v>3.36</v>
      </c>
      <c r="AD1957">
        <v>10.87</v>
      </c>
      <c r="AE1957">
        <v>5.82</v>
      </c>
      <c r="AF1957">
        <v>3.6566666666666658</v>
      </c>
      <c r="AG1957" t="str">
        <f>HYPERLINK("https://finance.naver.com/item/fchart.naver?code=008700", "아남전자 차트보기")</f>
        <v>아남전자 차트보기</v>
      </c>
    </row>
    <row r="1958" spans="1:33" x14ac:dyDescent="0.3">
      <c r="A1958" t="s">
        <v>7859</v>
      </c>
      <c r="B1958" t="s">
        <v>34</v>
      </c>
      <c r="C1958" t="s">
        <v>7860</v>
      </c>
      <c r="D1958">
        <v>245849.38</v>
      </c>
      <c r="E1958" t="s">
        <v>7861</v>
      </c>
      <c r="F1958">
        <v>2.25</v>
      </c>
      <c r="G1958">
        <v>0.40000000596046448</v>
      </c>
      <c r="H1958">
        <v>5839</v>
      </c>
      <c r="I1958">
        <v>1.5199999809265139</v>
      </c>
      <c r="J1958" t="s">
        <v>7862</v>
      </c>
      <c r="K1958">
        <v>18550</v>
      </c>
      <c r="L1958">
        <v>13150</v>
      </c>
      <c r="M1958">
        <v>-29.11</v>
      </c>
      <c r="N1958">
        <v>-3.02</v>
      </c>
      <c r="O1958">
        <v>-3.04</v>
      </c>
      <c r="P1958">
        <v>0.14000000000000001</v>
      </c>
      <c r="Q1958">
        <v>-9.2799999999999994</v>
      </c>
      <c r="R1958">
        <v>-21.06</v>
      </c>
      <c r="S1958">
        <v>23.63</v>
      </c>
      <c r="T1958">
        <v>1.74</v>
      </c>
      <c r="U1958">
        <v>2.42</v>
      </c>
      <c r="V1958">
        <v>2.91</v>
      </c>
      <c r="W1958">
        <v>4.24</v>
      </c>
      <c r="X1958">
        <v>2.0699999999999998</v>
      </c>
      <c r="Y1958">
        <v>3.62</v>
      </c>
      <c r="Z1958">
        <v>1.74</v>
      </c>
      <c r="AA1958">
        <v>1.26</v>
      </c>
      <c r="AB1958">
        <v>0.05</v>
      </c>
      <c r="AC1958">
        <v>2.19</v>
      </c>
      <c r="AD1958">
        <v>10.17</v>
      </c>
      <c r="AE1958">
        <v>6.53</v>
      </c>
      <c r="AF1958">
        <v>3.6566666666666672</v>
      </c>
      <c r="AG1958" t="str">
        <f>HYPERLINK("https://finance.naver.com/item/fchart.naver?code=200880", "서연이화 차트보기")</f>
        <v>서연이화 차트보기</v>
      </c>
    </row>
    <row r="1959" spans="1:33" x14ac:dyDescent="0.3">
      <c r="A1959" t="s">
        <v>7863</v>
      </c>
      <c r="B1959" t="s">
        <v>55</v>
      </c>
      <c r="C1959" t="s">
        <v>7864</v>
      </c>
      <c r="D1959">
        <v>36427</v>
      </c>
      <c r="E1959" t="s">
        <v>7865</v>
      </c>
      <c r="F1959">
        <v>15.23</v>
      </c>
      <c r="G1959">
        <v>0.23000000417232511</v>
      </c>
      <c r="H1959">
        <v>281</v>
      </c>
      <c r="I1959">
        <v>2.339999914169312</v>
      </c>
      <c r="J1959" t="s">
        <v>7866</v>
      </c>
      <c r="K1959">
        <v>4350</v>
      </c>
      <c r="L1959">
        <v>4280</v>
      </c>
      <c r="M1959">
        <v>-1.61</v>
      </c>
      <c r="N1959">
        <v>-9.42</v>
      </c>
      <c r="O1959">
        <v>-9.51</v>
      </c>
      <c r="P1959">
        <v>-4.13</v>
      </c>
      <c r="Q1959">
        <v>25.42</v>
      </c>
      <c r="R1959">
        <v>-11.3</v>
      </c>
      <c r="S1959">
        <v>-5.91</v>
      </c>
      <c r="T1959">
        <v>2.98</v>
      </c>
      <c r="U1959">
        <v>2.02</v>
      </c>
      <c r="V1959">
        <v>2.63</v>
      </c>
      <c r="W1959">
        <v>7.68</v>
      </c>
      <c r="X1959">
        <v>1.62</v>
      </c>
      <c r="Y1959">
        <v>2.68</v>
      </c>
      <c r="Z1959">
        <v>3.16</v>
      </c>
      <c r="AA1959">
        <v>4.71</v>
      </c>
      <c r="AB1959">
        <v>1.57</v>
      </c>
      <c r="AC1959">
        <v>3.31</v>
      </c>
      <c r="AD1959">
        <v>6.98</v>
      </c>
      <c r="AE1959">
        <v>2.21</v>
      </c>
      <c r="AF1959">
        <v>3.6566666666666672</v>
      </c>
      <c r="AG1959" t="str">
        <f>HYPERLINK("https://finance.naver.com/item/fchart.naver?code=037350", "성도이엔지 차트보기")</f>
        <v>성도이엔지 차트보기</v>
      </c>
    </row>
    <row r="1960" spans="1:33" x14ac:dyDescent="0.3">
      <c r="A1960" t="s">
        <v>7867</v>
      </c>
      <c r="B1960" t="s">
        <v>55</v>
      </c>
      <c r="C1960" t="s">
        <v>7868</v>
      </c>
      <c r="D1960">
        <v>95806.38</v>
      </c>
      <c r="E1960" t="s">
        <v>7869</v>
      </c>
      <c r="F1960">
        <v>0</v>
      </c>
      <c r="G1960">
        <v>1.299999952316284</v>
      </c>
      <c r="H1960">
        <v>0</v>
      </c>
      <c r="I1960">
        <v>0</v>
      </c>
      <c r="J1960" t="s">
        <v>7870</v>
      </c>
      <c r="K1960">
        <v>5410</v>
      </c>
      <c r="L1960">
        <v>2295</v>
      </c>
      <c r="M1960">
        <v>-57.58</v>
      </c>
      <c r="N1960">
        <v>-9.65</v>
      </c>
      <c r="O1960">
        <v>-12.52</v>
      </c>
      <c r="P1960">
        <v>7.14</v>
      </c>
      <c r="Q1960">
        <v>-26.18</v>
      </c>
      <c r="R1960">
        <v>-27.57</v>
      </c>
      <c r="S1960">
        <v>14.43</v>
      </c>
      <c r="T1960">
        <v>6.49</v>
      </c>
      <c r="U1960">
        <v>3.42</v>
      </c>
      <c r="V1960">
        <v>11.05</v>
      </c>
      <c r="W1960">
        <v>4.7699999999999996</v>
      </c>
      <c r="X1960">
        <v>3.9</v>
      </c>
      <c r="Y1960">
        <v>4.0199999999999996</v>
      </c>
      <c r="Z1960">
        <v>1.49</v>
      </c>
      <c r="AA1960">
        <v>3.66</v>
      </c>
      <c r="AB1960">
        <v>0.65</v>
      </c>
      <c r="AC1960">
        <v>5.49</v>
      </c>
      <c r="AD1960">
        <v>7.07</v>
      </c>
      <c r="AE1960">
        <v>3.59</v>
      </c>
      <c r="AF1960">
        <v>3.6583333333333332</v>
      </c>
      <c r="AG1960" t="str">
        <f>HYPERLINK("https://finance.naver.com/item/fchart.naver?code=058450", "한주에이알티 차트보기")</f>
        <v>한주에이알티 차트보기</v>
      </c>
    </row>
    <row r="1961" spans="1:33" x14ac:dyDescent="0.3">
      <c r="A1961" t="s">
        <v>7871</v>
      </c>
      <c r="B1961" t="s">
        <v>55</v>
      </c>
      <c r="C1961" t="s">
        <v>7872</v>
      </c>
      <c r="D1961">
        <v>135202.51999999999</v>
      </c>
      <c r="E1961" t="s">
        <v>7873</v>
      </c>
      <c r="F1961">
        <v>18.04</v>
      </c>
      <c r="G1961">
        <v>2.2000000476837158</v>
      </c>
      <c r="H1961">
        <v>104</v>
      </c>
      <c r="I1961">
        <v>0</v>
      </c>
      <c r="J1961" t="s">
        <v>7874</v>
      </c>
      <c r="K1961">
        <v>2435</v>
      </c>
      <c r="L1961">
        <v>1876</v>
      </c>
      <c r="M1961">
        <v>-22.96</v>
      </c>
      <c r="N1961">
        <v>-1</v>
      </c>
      <c r="O1961">
        <v>-6.32</v>
      </c>
      <c r="P1961">
        <v>-10.53</v>
      </c>
      <c r="Q1961">
        <v>13.27</v>
      </c>
      <c r="R1961">
        <v>-13.57</v>
      </c>
      <c r="S1961">
        <v>-5.19</v>
      </c>
      <c r="T1961">
        <v>2.1</v>
      </c>
      <c r="U1961">
        <v>1.56</v>
      </c>
      <c r="V1961">
        <v>2.85</v>
      </c>
      <c r="W1961">
        <v>7.01</v>
      </c>
      <c r="X1961">
        <v>1.5</v>
      </c>
      <c r="Y1961">
        <v>1.86</v>
      </c>
      <c r="Z1961">
        <v>0.48</v>
      </c>
      <c r="AA1961">
        <v>4.05</v>
      </c>
      <c r="AB1961">
        <v>3.69</v>
      </c>
      <c r="AC1961">
        <v>1.89</v>
      </c>
      <c r="AD1961">
        <v>9.0500000000000007</v>
      </c>
      <c r="AE1961">
        <v>2.79</v>
      </c>
      <c r="AF1961">
        <v>3.6583333333333332</v>
      </c>
      <c r="AG1961" t="str">
        <f>HYPERLINK("https://finance.naver.com/item/fchart.naver?code=042510", "라온시큐어 차트보기")</f>
        <v>라온시큐어 차트보기</v>
      </c>
    </row>
    <row r="1962" spans="1:33" x14ac:dyDescent="0.3">
      <c r="A1962" t="s">
        <v>7875</v>
      </c>
      <c r="B1962" t="s">
        <v>55</v>
      </c>
      <c r="C1962" t="s">
        <v>7876</v>
      </c>
      <c r="D1962">
        <v>28110.48</v>
      </c>
      <c r="E1962" t="s">
        <v>7877</v>
      </c>
      <c r="F1962">
        <v>8.4600000000000009</v>
      </c>
      <c r="G1962">
        <v>0.68999999761581421</v>
      </c>
      <c r="H1962">
        <v>734</v>
      </c>
      <c r="I1962">
        <v>0.81000000238418579</v>
      </c>
      <c r="J1962" t="s">
        <v>7878</v>
      </c>
      <c r="K1962">
        <v>9570</v>
      </c>
      <c r="L1962">
        <v>6210</v>
      </c>
      <c r="M1962">
        <v>-35.11</v>
      </c>
      <c r="N1962">
        <v>6.15</v>
      </c>
      <c r="O1962">
        <v>-10.63</v>
      </c>
      <c r="P1962">
        <v>0</v>
      </c>
      <c r="Q1962">
        <v>-12.47</v>
      </c>
      <c r="R1962">
        <v>-12.59</v>
      </c>
      <c r="S1962">
        <v>-8.1199999999999992</v>
      </c>
      <c r="T1962">
        <v>2.19</v>
      </c>
      <c r="U1962">
        <v>1.4</v>
      </c>
      <c r="V1962">
        <v>4.76</v>
      </c>
      <c r="W1962">
        <v>5.5</v>
      </c>
      <c r="X1962">
        <v>2.31</v>
      </c>
      <c r="Y1962">
        <v>2.12</v>
      </c>
      <c r="Z1962">
        <v>2.81</v>
      </c>
      <c r="AA1962">
        <v>7.59</v>
      </c>
      <c r="AB1962">
        <v>0</v>
      </c>
      <c r="AC1962">
        <v>2.27</v>
      </c>
      <c r="AD1962">
        <v>5.45</v>
      </c>
      <c r="AE1962">
        <v>3.83</v>
      </c>
      <c r="AF1962">
        <v>3.6583333333333341</v>
      </c>
      <c r="AG1962" t="str">
        <f>HYPERLINK("https://finance.naver.com/item/fchart.naver?code=039290", "인포뱅크 차트보기")</f>
        <v>인포뱅크 차트보기</v>
      </c>
    </row>
    <row r="1963" spans="1:33" x14ac:dyDescent="0.3">
      <c r="A1963" t="s">
        <v>7879</v>
      </c>
      <c r="B1963" t="s">
        <v>55</v>
      </c>
      <c r="C1963" t="s">
        <v>7880</v>
      </c>
      <c r="D1963">
        <v>16513.240000000002</v>
      </c>
      <c r="E1963" t="s">
        <v>7881</v>
      </c>
      <c r="F1963">
        <v>0</v>
      </c>
      <c r="G1963">
        <v>1.450000047683716</v>
      </c>
      <c r="H1963">
        <v>0</v>
      </c>
      <c r="I1963">
        <v>0</v>
      </c>
      <c r="J1963" t="s">
        <v>7882</v>
      </c>
      <c r="K1963">
        <v>3920</v>
      </c>
      <c r="L1963">
        <v>3485</v>
      </c>
      <c r="M1963">
        <v>-11.1</v>
      </c>
      <c r="N1963">
        <v>-4.6500000000000004</v>
      </c>
      <c r="O1963">
        <v>3.38</v>
      </c>
      <c r="P1963">
        <v>11.13</v>
      </c>
      <c r="Q1963">
        <v>0.94</v>
      </c>
      <c r="R1963">
        <v>-8.1199999999999992</v>
      </c>
      <c r="S1963">
        <v>-10.69</v>
      </c>
      <c r="T1963">
        <v>0.89</v>
      </c>
      <c r="U1963">
        <v>0.91</v>
      </c>
      <c r="V1963">
        <v>2.76</v>
      </c>
      <c r="W1963">
        <v>3.46</v>
      </c>
      <c r="X1963">
        <v>2.29</v>
      </c>
      <c r="Y1963">
        <v>2.0499999999999998</v>
      </c>
      <c r="Z1963">
        <v>5.22</v>
      </c>
      <c r="AA1963">
        <v>3.71</v>
      </c>
      <c r="AB1963">
        <v>4.03</v>
      </c>
      <c r="AC1963">
        <v>0.27</v>
      </c>
      <c r="AD1963">
        <v>3.55</v>
      </c>
      <c r="AE1963">
        <v>5.21</v>
      </c>
      <c r="AF1963">
        <v>3.665</v>
      </c>
      <c r="AG1963" t="str">
        <f>HYPERLINK("https://finance.naver.com/item/fchart.naver?code=173940", "에프엔씨엔터 차트보기")</f>
        <v>에프엔씨엔터 차트보기</v>
      </c>
    </row>
    <row r="1964" spans="1:33" x14ac:dyDescent="0.3">
      <c r="A1964" t="s">
        <v>7883</v>
      </c>
      <c r="B1964" t="s">
        <v>55</v>
      </c>
      <c r="C1964" t="s">
        <v>7884</v>
      </c>
      <c r="D1964">
        <v>133978.48000000001</v>
      </c>
      <c r="E1964" t="s">
        <v>7885</v>
      </c>
      <c r="F1964">
        <v>5.63</v>
      </c>
      <c r="G1964">
        <v>1.110000014305115</v>
      </c>
      <c r="H1964">
        <v>566</v>
      </c>
      <c r="I1964">
        <v>4.7100000381469727</v>
      </c>
      <c r="J1964" t="s">
        <v>7886</v>
      </c>
      <c r="K1964">
        <v>4645</v>
      </c>
      <c r="L1964">
        <v>3185</v>
      </c>
      <c r="M1964">
        <v>-31.43</v>
      </c>
      <c r="N1964">
        <v>-0.16</v>
      </c>
      <c r="O1964">
        <v>-14.99</v>
      </c>
      <c r="P1964">
        <v>-2.19</v>
      </c>
      <c r="Q1964">
        <v>-9</v>
      </c>
      <c r="R1964">
        <v>-8.68</v>
      </c>
      <c r="S1964">
        <v>-8.66</v>
      </c>
      <c r="T1964">
        <v>2.37</v>
      </c>
      <c r="U1964">
        <v>5.76</v>
      </c>
      <c r="V1964">
        <v>1.81</v>
      </c>
      <c r="W1964">
        <v>3.03</v>
      </c>
      <c r="X1964">
        <v>1.23</v>
      </c>
      <c r="Y1964">
        <v>1.07</v>
      </c>
      <c r="Z1964">
        <v>7.0000000000000007E-2</v>
      </c>
      <c r="AA1964">
        <v>2.6</v>
      </c>
      <c r="AB1964">
        <v>1.21</v>
      </c>
      <c r="AC1964">
        <v>2.97</v>
      </c>
      <c r="AD1964">
        <v>7.06</v>
      </c>
      <c r="AE1964">
        <v>8.09</v>
      </c>
      <c r="AF1964">
        <v>3.666666666666667</v>
      </c>
      <c r="AG1964" t="str">
        <f>HYPERLINK("https://finance.naver.com/item/fchart.naver?code=128660", "피제이메탈 차트보기")</f>
        <v>피제이메탈 차트보기</v>
      </c>
    </row>
    <row r="1965" spans="1:33" x14ac:dyDescent="0.3">
      <c r="A1965" t="s">
        <v>7887</v>
      </c>
      <c r="B1965" t="s">
        <v>34</v>
      </c>
      <c r="C1965" t="s">
        <v>7888</v>
      </c>
      <c r="D1965">
        <v>1466.9</v>
      </c>
      <c r="E1965" t="s">
        <v>7889</v>
      </c>
      <c r="F1965">
        <v>10.52</v>
      </c>
      <c r="G1965">
        <v>0.49000000953674322</v>
      </c>
      <c r="H1965">
        <v>950</v>
      </c>
      <c r="I1965">
        <v>6.4099998474121094</v>
      </c>
      <c r="J1965" t="s">
        <v>7890</v>
      </c>
      <c r="K1965">
        <v>10400</v>
      </c>
      <c r="L1965">
        <v>9990</v>
      </c>
      <c r="M1965">
        <v>-3.94</v>
      </c>
      <c r="N1965">
        <v>0.4</v>
      </c>
      <c r="O1965">
        <v>3.53</v>
      </c>
      <c r="P1965">
        <v>-2.92</v>
      </c>
      <c r="Q1965">
        <v>-4.2300000000000004</v>
      </c>
      <c r="R1965">
        <v>-3.49</v>
      </c>
      <c r="S1965">
        <v>2.2599999999999998</v>
      </c>
      <c r="T1965">
        <v>0.44</v>
      </c>
      <c r="U1965">
        <v>0.57999999999999996</v>
      </c>
      <c r="V1965">
        <v>0.94</v>
      </c>
      <c r="W1965">
        <v>0.86</v>
      </c>
      <c r="X1965">
        <v>0.91</v>
      </c>
      <c r="Y1965">
        <v>0.72</v>
      </c>
      <c r="Z1965">
        <v>0.91</v>
      </c>
      <c r="AA1965">
        <v>6.09</v>
      </c>
      <c r="AB1965">
        <v>3.11</v>
      </c>
      <c r="AC1965">
        <v>4.92</v>
      </c>
      <c r="AD1965">
        <v>3.84</v>
      </c>
      <c r="AE1965">
        <v>3.14</v>
      </c>
      <c r="AF1965">
        <v>3.668333333333333</v>
      </c>
      <c r="AG1965" t="str">
        <f>HYPERLINK("https://finance.naver.com/item/fchart.naver?code=078000", "텔코웨어 차트보기")</f>
        <v>텔코웨어 차트보기</v>
      </c>
    </row>
    <row r="1966" spans="1:33" x14ac:dyDescent="0.3">
      <c r="A1966" t="s">
        <v>7891</v>
      </c>
      <c r="B1966" t="s">
        <v>34</v>
      </c>
      <c r="C1966" t="s">
        <v>7892</v>
      </c>
      <c r="D1966">
        <v>339325.52</v>
      </c>
      <c r="E1966" t="s">
        <v>7893</v>
      </c>
      <c r="J1966" t="s">
        <v>7894</v>
      </c>
      <c r="K1966">
        <v>4345</v>
      </c>
      <c r="L1966">
        <v>4440</v>
      </c>
      <c r="M1966">
        <v>2.19</v>
      </c>
      <c r="N1966">
        <v>-4</v>
      </c>
      <c r="O1966">
        <v>-7.3</v>
      </c>
      <c r="P1966">
        <v>-2.46</v>
      </c>
      <c r="Q1966">
        <v>2.11</v>
      </c>
      <c r="R1966">
        <v>10.83</v>
      </c>
      <c r="S1966">
        <v>5.0199999999999996</v>
      </c>
      <c r="T1966">
        <v>1.77</v>
      </c>
      <c r="U1966">
        <v>2.02</v>
      </c>
      <c r="V1966">
        <v>1.1000000000000001</v>
      </c>
      <c r="W1966">
        <v>1.68</v>
      </c>
      <c r="X1966">
        <v>1.1000000000000001</v>
      </c>
      <c r="Y1966">
        <v>1.8</v>
      </c>
      <c r="Z1966">
        <v>2.2599999999999998</v>
      </c>
      <c r="AA1966">
        <v>3.61</v>
      </c>
      <c r="AB1966">
        <v>2.2400000000000002</v>
      </c>
      <c r="AC1966">
        <v>1.26</v>
      </c>
      <c r="AD1966">
        <v>9.85</v>
      </c>
      <c r="AE1966">
        <v>2.79</v>
      </c>
      <c r="AF1966">
        <v>3.668333333333333</v>
      </c>
      <c r="AG1966" t="str">
        <f>HYPERLINK("https://finance.naver.com/item/fchart.naver?code=395400", "SK리츠 차트보기")</f>
        <v>SK리츠 차트보기</v>
      </c>
    </row>
    <row r="1967" spans="1:33" x14ac:dyDescent="0.3">
      <c r="A1967" t="s">
        <v>7895</v>
      </c>
      <c r="B1967" t="s">
        <v>34</v>
      </c>
      <c r="C1967" t="s">
        <v>7896</v>
      </c>
      <c r="D1967">
        <v>438386.24</v>
      </c>
      <c r="E1967" t="s">
        <v>7897</v>
      </c>
      <c r="F1967">
        <v>41.24</v>
      </c>
      <c r="G1967">
        <v>8.25</v>
      </c>
      <c r="H1967">
        <v>605</v>
      </c>
      <c r="I1967">
        <v>0.40000000596046448</v>
      </c>
      <c r="J1967" t="s">
        <v>7898</v>
      </c>
      <c r="K1967">
        <v>41000</v>
      </c>
      <c r="L1967">
        <v>24950</v>
      </c>
      <c r="M1967">
        <v>-39.15</v>
      </c>
      <c r="N1967">
        <v>-9.44</v>
      </c>
      <c r="O1967">
        <v>-8.5399999999999991</v>
      </c>
      <c r="P1967">
        <v>0.33</v>
      </c>
      <c r="Q1967">
        <v>-10.29</v>
      </c>
      <c r="R1967">
        <v>-25.42</v>
      </c>
      <c r="S1967">
        <v>7.57</v>
      </c>
      <c r="T1967">
        <v>4.3099999999999996</v>
      </c>
      <c r="U1967">
        <v>2.68</v>
      </c>
      <c r="V1967">
        <v>5.0999999999999996</v>
      </c>
      <c r="W1967">
        <v>4.53</v>
      </c>
      <c r="X1967">
        <v>2.21</v>
      </c>
      <c r="Y1967">
        <v>2.7</v>
      </c>
      <c r="Z1967">
        <v>2.19</v>
      </c>
      <c r="AA1967">
        <v>3.19</v>
      </c>
      <c r="AB1967">
        <v>0.06</v>
      </c>
      <c r="AC1967">
        <v>2.27</v>
      </c>
      <c r="AD1967">
        <v>11.5</v>
      </c>
      <c r="AE1967">
        <v>2.8</v>
      </c>
      <c r="AF1967">
        <v>3.668333333333333</v>
      </c>
      <c r="AG1967" t="str">
        <f>HYPERLINK("https://finance.naver.com/item/fchart.naver?code=022100", "포스코DX 차트보기")</f>
        <v>포스코DX 차트보기</v>
      </c>
    </row>
    <row r="1968" spans="1:33" x14ac:dyDescent="0.3">
      <c r="A1968" t="s">
        <v>7899</v>
      </c>
      <c r="B1968" t="s">
        <v>34</v>
      </c>
      <c r="C1968" t="s">
        <v>7900</v>
      </c>
      <c r="D1968">
        <v>360447.48</v>
      </c>
      <c r="E1968" t="s">
        <v>7901</v>
      </c>
      <c r="F1968">
        <v>6.72</v>
      </c>
      <c r="G1968">
        <v>0.77999997138977051</v>
      </c>
      <c r="H1968">
        <v>863</v>
      </c>
      <c r="I1968">
        <v>2.7599999904632568</v>
      </c>
      <c r="J1968" t="s">
        <v>7902</v>
      </c>
      <c r="K1968">
        <v>7190</v>
      </c>
      <c r="L1968">
        <v>5800</v>
      </c>
      <c r="M1968">
        <v>-19.329999999999998</v>
      </c>
      <c r="N1968">
        <v>1.58</v>
      </c>
      <c r="O1968">
        <v>-7.05</v>
      </c>
      <c r="P1968">
        <v>-0.65</v>
      </c>
      <c r="Q1968">
        <v>-11.73</v>
      </c>
      <c r="R1968">
        <v>-10.74</v>
      </c>
      <c r="S1968">
        <v>-4.0199999999999996</v>
      </c>
      <c r="T1968">
        <v>3.41</v>
      </c>
      <c r="U1968">
        <v>0.98</v>
      </c>
      <c r="V1968">
        <v>1.56</v>
      </c>
      <c r="W1968">
        <v>4.08</v>
      </c>
      <c r="X1968">
        <v>1.41</v>
      </c>
      <c r="Y1968">
        <v>1.17</v>
      </c>
      <c r="Z1968">
        <v>0.46</v>
      </c>
      <c r="AA1968">
        <v>7.19</v>
      </c>
      <c r="AB1968">
        <v>0.42</v>
      </c>
      <c r="AC1968">
        <v>2.88</v>
      </c>
      <c r="AD1968">
        <v>7.62</v>
      </c>
      <c r="AE1968">
        <v>3.44</v>
      </c>
      <c r="AF1968">
        <v>3.668333333333333</v>
      </c>
      <c r="AG1968" t="str">
        <f>HYPERLINK("https://finance.naver.com/item/fchart.naver?code=138490", "코오롱ENP 차트보기")</f>
        <v>코오롱ENP 차트보기</v>
      </c>
    </row>
    <row r="1969" spans="1:33" x14ac:dyDescent="0.3">
      <c r="A1969" t="s">
        <v>7903</v>
      </c>
      <c r="B1969" t="s">
        <v>34</v>
      </c>
      <c r="C1969" t="s">
        <v>7904</v>
      </c>
      <c r="D1969">
        <v>661239.1</v>
      </c>
      <c r="E1969" t="s">
        <v>7905</v>
      </c>
      <c r="F1969">
        <v>220.8</v>
      </c>
      <c r="G1969">
        <v>1.950000047683716</v>
      </c>
      <c r="H1969">
        <v>5</v>
      </c>
      <c r="I1969">
        <v>0</v>
      </c>
      <c r="J1969" t="s">
        <v>7906</v>
      </c>
      <c r="K1969">
        <v>1325</v>
      </c>
      <c r="L1969">
        <v>1104</v>
      </c>
      <c r="M1969">
        <v>-16.68</v>
      </c>
      <c r="N1969">
        <v>0.45</v>
      </c>
      <c r="O1969">
        <v>1.37</v>
      </c>
      <c r="P1969">
        <v>-6.19</v>
      </c>
      <c r="Q1969">
        <v>4.66</v>
      </c>
      <c r="R1969">
        <v>-10.59</v>
      </c>
      <c r="S1969">
        <v>-0.95</v>
      </c>
      <c r="T1969">
        <v>0.59</v>
      </c>
      <c r="U1969">
        <v>4.91</v>
      </c>
      <c r="V1969">
        <v>1.53</v>
      </c>
      <c r="W1969">
        <v>2.9</v>
      </c>
      <c r="X1969">
        <v>0.74</v>
      </c>
      <c r="Y1969">
        <v>0.94</v>
      </c>
      <c r="Z1969">
        <v>0.76</v>
      </c>
      <c r="AA1969">
        <v>0.28000000000000003</v>
      </c>
      <c r="AB1969">
        <v>4.05</v>
      </c>
      <c r="AC1969">
        <v>1.61</v>
      </c>
      <c r="AD1969">
        <v>14.31</v>
      </c>
      <c r="AE1969">
        <v>1.01</v>
      </c>
      <c r="AF1969">
        <v>3.67</v>
      </c>
      <c r="AG1969" t="str">
        <f>HYPERLINK("https://finance.naver.com/item/fchart.naver?code=009320", "아진전자부품 차트보기")</f>
        <v>아진전자부품 차트보기</v>
      </c>
    </row>
    <row r="1970" spans="1:33" x14ac:dyDescent="0.3">
      <c r="A1970" t="s">
        <v>7907</v>
      </c>
      <c r="B1970" t="s">
        <v>34</v>
      </c>
      <c r="C1970" t="s">
        <v>7908</v>
      </c>
      <c r="D1970">
        <v>175362.38</v>
      </c>
      <c r="E1970" t="s">
        <v>7909</v>
      </c>
      <c r="F1970">
        <v>0</v>
      </c>
      <c r="G1970">
        <v>0.27000001072883612</v>
      </c>
      <c r="H1970">
        <v>0</v>
      </c>
      <c r="I1970">
        <v>0</v>
      </c>
      <c r="J1970" t="s">
        <v>7910</v>
      </c>
      <c r="K1970">
        <v>631</v>
      </c>
      <c r="L1970">
        <v>407</v>
      </c>
      <c r="M1970">
        <v>-35.5</v>
      </c>
      <c r="N1970">
        <v>-5.57</v>
      </c>
      <c r="O1970">
        <v>-10</v>
      </c>
      <c r="P1970">
        <v>4.68</v>
      </c>
      <c r="Q1970">
        <v>-7.62</v>
      </c>
      <c r="R1970">
        <v>-5.41</v>
      </c>
      <c r="S1970">
        <v>-6.67</v>
      </c>
      <c r="T1970">
        <v>1.39</v>
      </c>
      <c r="U1970">
        <v>2.82</v>
      </c>
      <c r="V1970">
        <v>2.25</v>
      </c>
      <c r="W1970">
        <v>3.22</v>
      </c>
      <c r="X1970">
        <v>0.91</v>
      </c>
      <c r="Y1970">
        <v>1.64</v>
      </c>
      <c r="Z1970">
        <v>4.01</v>
      </c>
      <c r="AA1970">
        <v>3.55</v>
      </c>
      <c r="AB1970">
        <v>2.08</v>
      </c>
      <c r="AC1970">
        <v>2.37</v>
      </c>
      <c r="AD1970">
        <v>5.95</v>
      </c>
      <c r="AE1970">
        <v>4.07</v>
      </c>
      <c r="AF1970">
        <v>3.6716666666666669</v>
      </c>
      <c r="AG1970" t="str">
        <f>HYPERLINK("https://finance.naver.com/item/fchart.naver?code=005320", "온타이드 차트보기")</f>
        <v>온타이드 차트보기</v>
      </c>
    </row>
    <row r="1971" spans="1:33" x14ac:dyDescent="0.3">
      <c r="A1971" t="s">
        <v>7911</v>
      </c>
      <c r="B1971" t="s">
        <v>55</v>
      </c>
      <c r="C1971" t="s">
        <v>7912</v>
      </c>
      <c r="D1971">
        <v>313064</v>
      </c>
      <c r="E1971" t="s">
        <v>7913</v>
      </c>
      <c r="F1971">
        <v>62.21</v>
      </c>
      <c r="G1971">
        <v>1.0900000333786011</v>
      </c>
      <c r="H1971">
        <v>86</v>
      </c>
      <c r="I1971">
        <v>1.309999942779541</v>
      </c>
      <c r="J1971" t="s">
        <v>7914</v>
      </c>
      <c r="K1971">
        <v>6170</v>
      </c>
      <c r="L1971">
        <v>5350</v>
      </c>
      <c r="M1971">
        <v>-13.29</v>
      </c>
      <c r="N1971">
        <v>7</v>
      </c>
      <c r="O1971">
        <v>-6.78</v>
      </c>
      <c r="P1971">
        <v>-5.52</v>
      </c>
      <c r="Q1971">
        <v>-11.94</v>
      </c>
      <c r="R1971">
        <v>-22.21</v>
      </c>
      <c r="S1971">
        <v>90.1</v>
      </c>
      <c r="T1971">
        <v>3.74</v>
      </c>
      <c r="U1971">
        <v>3.88</v>
      </c>
      <c r="V1971">
        <v>3.08</v>
      </c>
      <c r="W1971">
        <v>5</v>
      </c>
      <c r="X1971">
        <v>3.69</v>
      </c>
      <c r="Y1971">
        <v>10.98</v>
      </c>
      <c r="Z1971">
        <v>1.87</v>
      </c>
      <c r="AA1971">
        <v>1.75</v>
      </c>
      <c r="AB1971">
        <v>1.79</v>
      </c>
      <c r="AC1971">
        <v>2.39</v>
      </c>
      <c r="AD1971">
        <v>6.02</v>
      </c>
      <c r="AE1971">
        <v>8.2100000000000009</v>
      </c>
      <c r="AF1971">
        <v>3.6716666666666669</v>
      </c>
      <c r="AG1971" t="str">
        <f>HYPERLINK("https://finance.naver.com/item/fchart.naver?code=017510", "세명전기 차트보기")</f>
        <v>세명전기 차트보기</v>
      </c>
    </row>
    <row r="1972" spans="1:33" x14ac:dyDescent="0.3">
      <c r="A1972" t="s">
        <v>7915</v>
      </c>
      <c r="B1972" t="s">
        <v>55</v>
      </c>
      <c r="C1972" t="s">
        <v>7916</v>
      </c>
      <c r="D1972">
        <v>15851.67</v>
      </c>
      <c r="E1972" t="s">
        <v>7917</v>
      </c>
      <c r="F1972">
        <v>8.1999999999999993</v>
      </c>
      <c r="G1972">
        <v>0.55000001192092896</v>
      </c>
      <c r="H1972">
        <v>420</v>
      </c>
      <c r="I1972">
        <v>5.809999942779541</v>
      </c>
      <c r="J1972" t="s">
        <v>7918</v>
      </c>
      <c r="K1972">
        <v>4665</v>
      </c>
      <c r="L1972">
        <v>3445</v>
      </c>
      <c r="M1972">
        <v>-26.15</v>
      </c>
      <c r="N1972">
        <v>-1.99</v>
      </c>
      <c r="O1972">
        <v>-7.37</v>
      </c>
      <c r="P1972">
        <v>-3.68</v>
      </c>
      <c r="Q1972">
        <v>-6.27</v>
      </c>
      <c r="R1972">
        <v>-4.9000000000000004</v>
      </c>
      <c r="S1972">
        <v>-1.21</v>
      </c>
      <c r="T1972">
        <v>1.02</v>
      </c>
      <c r="U1972">
        <v>0.9</v>
      </c>
      <c r="V1972">
        <v>1.57</v>
      </c>
      <c r="W1972">
        <v>2.14</v>
      </c>
      <c r="X1972">
        <v>0.93</v>
      </c>
      <c r="Y1972">
        <v>0.89</v>
      </c>
      <c r="Z1972">
        <v>1.95</v>
      </c>
      <c r="AA1972">
        <v>8.19</v>
      </c>
      <c r="AB1972">
        <v>2.34</v>
      </c>
      <c r="AC1972">
        <v>2.93</v>
      </c>
      <c r="AD1972">
        <v>5.27</v>
      </c>
      <c r="AE1972">
        <v>1.36</v>
      </c>
      <c r="AF1972">
        <v>3.6733333333333329</v>
      </c>
      <c r="AG1972" t="str">
        <f>HYPERLINK("https://finance.naver.com/item/fchart.naver?code=122450", "KX 차트보기")</f>
        <v>KX 차트보기</v>
      </c>
    </row>
    <row r="1973" spans="1:33" x14ac:dyDescent="0.3">
      <c r="A1973" t="s">
        <v>7919</v>
      </c>
      <c r="B1973" t="s">
        <v>34</v>
      </c>
      <c r="C1973" t="s">
        <v>7920</v>
      </c>
      <c r="D1973">
        <v>34528</v>
      </c>
      <c r="E1973" t="s">
        <v>7921</v>
      </c>
      <c r="F1973">
        <v>10.82</v>
      </c>
      <c r="G1973">
        <v>0.57999998331069946</v>
      </c>
      <c r="H1973">
        <v>24081</v>
      </c>
      <c r="I1973">
        <v>2.1099998950958252</v>
      </c>
      <c r="J1973" t="s">
        <v>7922</v>
      </c>
      <c r="K1973">
        <v>329000</v>
      </c>
      <c r="L1973">
        <v>260500</v>
      </c>
      <c r="M1973">
        <v>-20.82</v>
      </c>
      <c r="N1973">
        <v>-4.75</v>
      </c>
      <c r="O1973">
        <v>-6.15</v>
      </c>
      <c r="P1973">
        <v>-5.59</v>
      </c>
      <c r="Q1973">
        <v>-13.79</v>
      </c>
      <c r="R1973">
        <v>4.74</v>
      </c>
      <c r="S1973">
        <v>9.67</v>
      </c>
      <c r="T1973">
        <v>1.38</v>
      </c>
      <c r="U1973">
        <v>1.85</v>
      </c>
      <c r="V1973">
        <v>1.62</v>
      </c>
      <c r="W1973">
        <v>2.62</v>
      </c>
      <c r="X1973">
        <v>1.96</v>
      </c>
      <c r="Y1973">
        <v>2.33</v>
      </c>
      <c r="Z1973">
        <v>3.44</v>
      </c>
      <c r="AA1973">
        <v>3.32</v>
      </c>
      <c r="AB1973">
        <v>3.45</v>
      </c>
      <c r="AC1973">
        <v>5.26</v>
      </c>
      <c r="AD1973">
        <v>2.42</v>
      </c>
      <c r="AE1973">
        <v>4.1500000000000004</v>
      </c>
      <c r="AF1973">
        <v>3.6733333333333329</v>
      </c>
      <c r="AG1973" t="str">
        <f>HYPERLINK("https://finance.naver.com/item/fchart.naver?code=097950", "CJ제일제당 차트보기")</f>
        <v>CJ제일제당 차트보기</v>
      </c>
    </row>
    <row r="1974" spans="1:33" x14ac:dyDescent="0.3">
      <c r="A1974" t="s">
        <v>7923</v>
      </c>
      <c r="B1974" t="s">
        <v>55</v>
      </c>
      <c r="C1974" t="s">
        <v>7924</v>
      </c>
      <c r="D1974">
        <v>98360.81</v>
      </c>
      <c r="E1974" t="s">
        <v>7925</v>
      </c>
      <c r="F1974">
        <v>13.94</v>
      </c>
      <c r="G1974">
        <v>1.070000052452087</v>
      </c>
      <c r="H1974">
        <v>3134</v>
      </c>
      <c r="I1974">
        <v>1.200000047683716</v>
      </c>
      <c r="J1974" t="s">
        <v>7926</v>
      </c>
      <c r="K1974">
        <v>21950</v>
      </c>
      <c r="L1974">
        <v>43700</v>
      </c>
      <c r="M1974">
        <v>99.09</v>
      </c>
      <c r="N1974">
        <v>21.56</v>
      </c>
      <c r="O1974">
        <v>15</v>
      </c>
      <c r="P1974">
        <v>31.58</v>
      </c>
      <c r="Q1974">
        <v>2.02</v>
      </c>
      <c r="R1974">
        <v>7.31</v>
      </c>
      <c r="S1974">
        <v>-1.27</v>
      </c>
      <c r="T1974">
        <v>3.97</v>
      </c>
      <c r="U1974">
        <v>4.55</v>
      </c>
      <c r="V1974">
        <v>3.83</v>
      </c>
      <c r="W1974">
        <v>3.7</v>
      </c>
      <c r="X1974">
        <v>1.83</v>
      </c>
      <c r="Y1974">
        <v>2.44</v>
      </c>
      <c r="Z1974">
        <v>5.43</v>
      </c>
      <c r="AA1974">
        <v>3.3</v>
      </c>
      <c r="AB1974">
        <v>8.25</v>
      </c>
      <c r="AC1974">
        <v>0.55000000000000004</v>
      </c>
      <c r="AD1974">
        <v>3.99</v>
      </c>
      <c r="AE1974">
        <v>0.52</v>
      </c>
      <c r="AF1974">
        <v>3.6733333333333338</v>
      </c>
      <c r="AG1974" t="str">
        <f>HYPERLINK("https://finance.naver.com/item/fchart.naver?code=084110", "휴온스글로벌 차트보기")</f>
        <v>휴온스글로벌 차트보기</v>
      </c>
    </row>
    <row r="1975" spans="1:33" x14ac:dyDescent="0.3">
      <c r="A1975" t="s">
        <v>7927</v>
      </c>
      <c r="B1975" t="s">
        <v>55</v>
      </c>
      <c r="C1975" t="s">
        <v>7928</v>
      </c>
      <c r="D1975">
        <v>135876.57</v>
      </c>
      <c r="E1975" t="s">
        <v>7929</v>
      </c>
      <c r="F1975">
        <v>0</v>
      </c>
      <c r="G1975">
        <v>2.5</v>
      </c>
      <c r="H1975">
        <v>0</v>
      </c>
      <c r="I1975">
        <v>0</v>
      </c>
      <c r="J1975" t="s">
        <v>7930</v>
      </c>
      <c r="K1975">
        <v>11970</v>
      </c>
      <c r="L1975">
        <v>5010</v>
      </c>
      <c r="M1975">
        <v>-58.15</v>
      </c>
      <c r="N1975">
        <v>0.2</v>
      </c>
      <c r="O1975">
        <v>-7.61</v>
      </c>
      <c r="P1975">
        <v>2.38</v>
      </c>
      <c r="Q1975">
        <v>-25.14</v>
      </c>
      <c r="R1975">
        <v>-23.7</v>
      </c>
      <c r="S1975">
        <v>-37.25</v>
      </c>
      <c r="T1975">
        <v>3.29</v>
      </c>
      <c r="U1975">
        <v>2.48</v>
      </c>
      <c r="V1975">
        <v>4.7</v>
      </c>
      <c r="W1975">
        <v>4.7300000000000004</v>
      </c>
      <c r="X1975">
        <v>2.87</v>
      </c>
      <c r="Y1975">
        <v>7.69</v>
      </c>
      <c r="Z1975">
        <v>0.06</v>
      </c>
      <c r="AA1975">
        <v>3.07</v>
      </c>
      <c r="AB1975">
        <v>0.51</v>
      </c>
      <c r="AC1975">
        <v>5.32</v>
      </c>
      <c r="AD1975">
        <v>8.26</v>
      </c>
      <c r="AE1975">
        <v>4.84</v>
      </c>
      <c r="AF1975">
        <v>3.6766666666666659</v>
      </c>
      <c r="AG1975" t="str">
        <f>HYPERLINK("https://finance.naver.com/item/fchart.naver?code=432430", "와이랩 차트보기")</f>
        <v>와이랩 차트보기</v>
      </c>
    </row>
    <row r="1976" spans="1:33" x14ac:dyDescent="0.3">
      <c r="A1976" t="s">
        <v>7931</v>
      </c>
      <c r="B1976" t="s">
        <v>55</v>
      </c>
      <c r="C1976" t="s">
        <v>7932</v>
      </c>
      <c r="D1976">
        <v>314866.71000000002</v>
      </c>
      <c r="E1976" t="s">
        <v>7933</v>
      </c>
      <c r="F1976">
        <v>21.15</v>
      </c>
      <c r="G1976">
        <v>1.279999971389771</v>
      </c>
      <c r="H1976">
        <v>671</v>
      </c>
      <c r="I1976">
        <v>0.69999998807907104</v>
      </c>
      <c r="J1976" t="s">
        <v>7934</v>
      </c>
      <c r="K1976">
        <v>17180</v>
      </c>
      <c r="L1976">
        <v>14190</v>
      </c>
      <c r="M1976">
        <v>-17.399999999999999</v>
      </c>
      <c r="N1976">
        <v>19.440000000000001</v>
      </c>
      <c r="O1976">
        <v>8.4700000000000006</v>
      </c>
      <c r="P1976">
        <v>2.1800000000000002</v>
      </c>
      <c r="Q1976">
        <v>-8.16</v>
      </c>
      <c r="R1976">
        <v>-6.98</v>
      </c>
      <c r="S1976">
        <v>-14.55</v>
      </c>
      <c r="T1976">
        <v>4.95</v>
      </c>
      <c r="U1976">
        <v>5.1100000000000003</v>
      </c>
      <c r="V1976">
        <v>2.02</v>
      </c>
      <c r="W1976">
        <v>3.67</v>
      </c>
      <c r="X1976">
        <v>2.2200000000000002</v>
      </c>
      <c r="Y1976">
        <v>1.45</v>
      </c>
      <c r="Z1976">
        <v>3.93</v>
      </c>
      <c r="AA1976">
        <v>1.66</v>
      </c>
      <c r="AB1976">
        <v>1.08</v>
      </c>
      <c r="AC1976">
        <v>2.2200000000000002</v>
      </c>
      <c r="AD1976">
        <v>3.14</v>
      </c>
      <c r="AE1976">
        <v>10.029999999999999</v>
      </c>
      <c r="AF1976">
        <v>3.6766666666666672</v>
      </c>
      <c r="AG1976" t="str">
        <f>HYPERLINK("https://finance.naver.com/item/fchart.naver?code=218410", "RFHIC 차트보기")</f>
        <v>RFHIC 차트보기</v>
      </c>
    </row>
    <row r="1977" spans="1:33" x14ac:dyDescent="0.3">
      <c r="A1977" t="s">
        <v>7935</v>
      </c>
      <c r="B1977" t="s">
        <v>55</v>
      </c>
      <c r="C1977" t="s">
        <v>7936</v>
      </c>
      <c r="D1977">
        <v>818776.24</v>
      </c>
      <c r="E1977" t="s">
        <v>7937</v>
      </c>
      <c r="F1977">
        <v>0</v>
      </c>
      <c r="G1977">
        <v>0.81999999284744263</v>
      </c>
      <c r="H1977">
        <v>0</v>
      </c>
      <c r="I1977">
        <v>0</v>
      </c>
      <c r="J1977" t="s">
        <v>7938</v>
      </c>
      <c r="K1977">
        <v>6370</v>
      </c>
      <c r="L1977">
        <v>3435</v>
      </c>
      <c r="M1977">
        <v>-46.08</v>
      </c>
      <c r="N1977">
        <v>-15.29</v>
      </c>
      <c r="O1977">
        <v>3.43</v>
      </c>
      <c r="P1977">
        <v>12.59</v>
      </c>
      <c r="Q1977">
        <v>-21.3</v>
      </c>
      <c r="R1977">
        <v>-14.84</v>
      </c>
      <c r="S1977">
        <v>-12.13</v>
      </c>
      <c r="T1977">
        <v>4.37</v>
      </c>
      <c r="U1977">
        <v>7.27</v>
      </c>
      <c r="V1977">
        <v>7.79</v>
      </c>
      <c r="W1977">
        <v>4.9800000000000004</v>
      </c>
      <c r="X1977">
        <v>2.4</v>
      </c>
      <c r="Y1977">
        <v>2.0099999999999998</v>
      </c>
      <c r="Z1977">
        <v>3.5</v>
      </c>
      <c r="AA1977">
        <v>0.47</v>
      </c>
      <c r="AB1977">
        <v>1.62</v>
      </c>
      <c r="AC1977">
        <v>4.28</v>
      </c>
      <c r="AD1977">
        <v>6.18</v>
      </c>
      <c r="AE1977">
        <v>6.03</v>
      </c>
      <c r="AF1977">
        <v>3.68</v>
      </c>
      <c r="AG1977" t="str">
        <f>HYPERLINK("https://finance.naver.com/item/fchart.naver?code=147760", "피엠티 차트보기")</f>
        <v>피엠티 차트보기</v>
      </c>
    </row>
    <row r="1978" spans="1:33" x14ac:dyDescent="0.3">
      <c r="A1978" t="s">
        <v>7939</v>
      </c>
      <c r="B1978" t="s">
        <v>34</v>
      </c>
      <c r="C1978" t="s">
        <v>7940</v>
      </c>
      <c r="D1978">
        <v>38600</v>
      </c>
      <c r="E1978" t="s">
        <v>7941</v>
      </c>
      <c r="F1978">
        <v>0</v>
      </c>
      <c r="G1978">
        <v>2.5799999237060551</v>
      </c>
      <c r="H1978">
        <v>0</v>
      </c>
      <c r="I1978">
        <v>0</v>
      </c>
      <c r="J1978" t="s">
        <v>7942</v>
      </c>
      <c r="K1978">
        <v>5210</v>
      </c>
      <c r="L1978">
        <v>4500</v>
      </c>
      <c r="M1978">
        <v>-13.63</v>
      </c>
      <c r="N1978">
        <v>0.22</v>
      </c>
      <c r="O1978">
        <v>-1.1100000000000001</v>
      </c>
      <c r="P1978">
        <v>0.11</v>
      </c>
      <c r="Q1978">
        <v>-7.27</v>
      </c>
      <c r="R1978">
        <v>0.52</v>
      </c>
      <c r="S1978">
        <v>-4.6399999999999997</v>
      </c>
      <c r="T1978">
        <v>0.33</v>
      </c>
      <c r="U1978">
        <v>0.45</v>
      </c>
      <c r="V1978">
        <v>0.83</v>
      </c>
      <c r="W1978">
        <v>0.76</v>
      </c>
      <c r="X1978">
        <v>0.79</v>
      </c>
      <c r="Y1978">
        <v>0.54</v>
      </c>
      <c r="Z1978">
        <v>0.67</v>
      </c>
      <c r="AA1978">
        <v>2.4700000000000002</v>
      </c>
      <c r="AB1978">
        <v>0.13</v>
      </c>
      <c r="AC1978">
        <v>9.57</v>
      </c>
      <c r="AD1978">
        <v>0.66</v>
      </c>
      <c r="AE1978">
        <v>8.59</v>
      </c>
      <c r="AF1978">
        <v>3.6816666666666671</v>
      </c>
      <c r="AG1978" t="str">
        <f>HYPERLINK("https://finance.naver.com/item/fchart.naver?code=002210", "동성제약 차트보기")</f>
        <v>동성제약 차트보기</v>
      </c>
    </row>
    <row r="1979" spans="1:33" x14ac:dyDescent="0.3">
      <c r="A1979" t="s">
        <v>7943</v>
      </c>
      <c r="B1979" t="s">
        <v>55</v>
      </c>
      <c r="C1979" t="s">
        <v>7944</v>
      </c>
      <c r="D1979">
        <v>83726.48</v>
      </c>
      <c r="E1979" t="s">
        <v>7945</v>
      </c>
      <c r="F1979">
        <v>67.209999999999994</v>
      </c>
      <c r="G1979">
        <v>6.869999885559082</v>
      </c>
      <c r="H1979">
        <v>552</v>
      </c>
      <c r="I1979">
        <v>0</v>
      </c>
      <c r="J1979" t="s">
        <v>7946</v>
      </c>
      <c r="K1979">
        <v>82700</v>
      </c>
      <c r="L1979">
        <v>37100</v>
      </c>
      <c r="M1979">
        <v>-55.14</v>
      </c>
      <c r="N1979">
        <v>-4.75</v>
      </c>
      <c r="O1979">
        <v>-6.06</v>
      </c>
      <c r="P1979">
        <v>-7.52</v>
      </c>
      <c r="Q1979">
        <v>-9.9600000000000009</v>
      </c>
      <c r="R1979">
        <v>-23.12</v>
      </c>
      <c r="S1979">
        <v>-21.42</v>
      </c>
      <c r="T1979">
        <v>4.09</v>
      </c>
      <c r="U1979">
        <v>3.36</v>
      </c>
      <c r="V1979">
        <v>3.93</v>
      </c>
      <c r="W1979">
        <v>6.54</v>
      </c>
      <c r="X1979">
        <v>2.61</v>
      </c>
      <c r="Y1979">
        <v>3.12</v>
      </c>
      <c r="Z1979">
        <v>1.1599999999999999</v>
      </c>
      <c r="AA1979">
        <v>1.8</v>
      </c>
      <c r="AB1979">
        <v>1.91</v>
      </c>
      <c r="AC1979">
        <v>1.52</v>
      </c>
      <c r="AD1979">
        <v>8.86</v>
      </c>
      <c r="AE1979">
        <v>6.87</v>
      </c>
      <c r="AF1979">
        <v>3.686666666666667</v>
      </c>
      <c r="AG1979" t="str">
        <f>HYPERLINK("https://finance.naver.com/item/fchart.naver?code=399720", "가온칩스 차트보기")</f>
        <v>가온칩스 차트보기</v>
      </c>
    </row>
    <row r="1980" spans="1:33" x14ac:dyDescent="0.3">
      <c r="A1980" t="s">
        <v>7947</v>
      </c>
      <c r="B1980" t="s">
        <v>34</v>
      </c>
      <c r="C1980" t="s">
        <v>7948</v>
      </c>
      <c r="D1980">
        <v>401382.05</v>
      </c>
      <c r="E1980" t="s">
        <v>7949</v>
      </c>
      <c r="F1980">
        <v>0</v>
      </c>
      <c r="G1980">
        <v>4.4499998092651367</v>
      </c>
      <c r="H1980">
        <v>0</v>
      </c>
      <c r="I1980">
        <v>0.20000000298023221</v>
      </c>
      <c r="J1980" t="s">
        <v>7950</v>
      </c>
      <c r="K1980">
        <v>51300</v>
      </c>
      <c r="L1980">
        <v>39200</v>
      </c>
      <c r="M1980">
        <v>-23.59</v>
      </c>
      <c r="N1980">
        <v>-7.55</v>
      </c>
      <c r="O1980">
        <v>14.08</v>
      </c>
      <c r="P1980">
        <v>3.93</v>
      </c>
      <c r="Q1980">
        <v>-10.98</v>
      </c>
      <c r="R1980">
        <v>-34.46</v>
      </c>
      <c r="S1980">
        <v>17.39</v>
      </c>
      <c r="T1980">
        <v>4.83</v>
      </c>
      <c r="U1980">
        <v>6.42</v>
      </c>
      <c r="V1980">
        <v>5.45</v>
      </c>
      <c r="W1980">
        <v>5.69</v>
      </c>
      <c r="X1980">
        <v>2.9</v>
      </c>
      <c r="Y1980">
        <v>4.53</v>
      </c>
      <c r="Z1980">
        <v>1.56</v>
      </c>
      <c r="AA1980">
        <v>2.19</v>
      </c>
      <c r="AB1980">
        <v>0.72</v>
      </c>
      <c r="AC1980">
        <v>1.93</v>
      </c>
      <c r="AD1980">
        <v>11.88</v>
      </c>
      <c r="AE1980">
        <v>3.84</v>
      </c>
      <c r="AF1980">
        <v>3.686666666666667</v>
      </c>
      <c r="AG1980" t="str">
        <f>HYPERLINK("https://finance.naver.com/item/fchart.naver?code=002710", "TCC스틸 차트보기")</f>
        <v>TCC스틸 차트보기</v>
      </c>
    </row>
    <row r="1981" spans="1:33" x14ac:dyDescent="0.3">
      <c r="A1981" t="s">
        <v>7951</v>
      </c>
      <c r="B1981" t="s">
        <v>55</v>
      </c>
      <c r="C1981" t="s">
        <v>7952</v>
      </c>
      <c r="D1981">
        <v>108520.48</v>
      </c>
      <c r="E1981" t="s">
        <v>7953</v>
      </c>
      <c r="F1981">
        <v>2.08</v>
      </c>
      <c r="G1981">
        <v>0.49000000953674322</v>
      </c>
      <c r="H1981">
        <v>1281</v>
      </c>
      <c r="I1981">
        <v>2.25</v>
      </c>
      <c r="J1981" t="s">
        <v>7954</v>
      </c>
      <c r="K1981">
        <v>4575</v>
      </c>
      <c r="L1981">
        <v>2665</v>
      </c>
      <c r="M1981">
        <v>-41.75</v>
      </c>
      <c r="N1981">
        <v>-4.1399999999999997</v>
      </c>
      <c r="O1981">
        <v>-8.56</v>
      </c>
      <c r="P1981">
        <v>-2.94</v>
      </c>
      <c r="Q1981">
        <v>-11.84</v>
      </c>
      <c r="R1981">
        <v>-10.62</v>
      </c>
      <c r="S1981">
        <v>-3.31</v>
      </c>
      <c r="T1981">
        <v>1.52</v>
      </c>
      <c r="U1981">
        <v>1.62</v>
      </c>
      <c r="V1981">
        <v>2.1</v>
      </c>
      <c r="W1981">
        <v>4.3499999999999996</v>
      </c>
      <c r="X1981">
        <v>1.29</v>
      </c>
      <c r="Y1981">
        <v>1.86</v>
      </c>
      <c r="Z1981">
        <v>2.72</v>
      </c>
      <c r="AA1981">
        <v>5.28</v>
      </c>
      <c r="AB1981">
        <v>1.4</v>
      </c>
      <c r="AC1981">
        <v>2.72</v>
      </c>
      <c r="AD1981">
        <v>8.23</v>
      </c>
      <c r="AE1981">
        <v>1.78</v>
      </c>
      <c r="AF1981">
        <v>3.6883333333333339</v>
      </c>
      <c r="AG1981" t="str">
        <f>HYPERLINK("https://finance.naver.com/item/fchart.naver?code=038110", "에코플라스틱 차트보기")</f>
        <v>에코플라스틱 차트보기</v>
      </c>
    </row>
    <row r="1982" spans="1:33" x14ac:dyDescent="0.3">
      <c r="A1982" t="s">
        <v>7955</v>
      </c>
      <c r="B1982" t="s">
        <v>34</v>
      </c>
      <c r="C1982" t="s">
        <v>7956</v>
      </c>
      <c r="D1982">
        <v>212779.05</v>
      </c>
      <c r="E1982" t="s">
        <v>7957</v>
      </c>
      <c r="F1982">
        <v>15.56</v>
      </c>
      <c r="G1982">
        <v>1.5</v>
      </c>
      <c r="H1982">
        <v>7843</v>
      </c>
      <c r="I1982">
        <v>4.2600002288818359</v>
      </c>
      <c r="J1982" t="s">
        <v>7958</v>
      </c>
      <c r="K1982">
        <v>90100</v>
      </c>
      <c r="L1982">
        <v>122000</v>
      </c>
      <c r="M1982">
        <v>35.409999999999997</v>
      </c>
      <c r="N1982">
        <v>10.91</v>
      </c>
      <c r="O1982">
        <v>4.9800000000000004</v>
      </c>
      <c r="P1982">
        <v>1.4</v>
      </c>
      <c r="Q1982">
        <v>16.850000000000001</v>
      </c>
      <c r="R1982">
        <v>6.87</v>
      </c>
      <c r="S1982">
        <v>4.01</v>
      </c>
      <c r="T1982">
        <v>4.32</v>
      </c>
      <c r="U1982">
        <v>4.5</v>
      </c>
      <c r="V1982">
        <v>1.45</v>
      </c>
      <c r="W1982">
        <v>2.56</v>
      </c>
      <c r="X1982">
        <v>1.05</v>
      </c>
      <c r="Y1982">
        <v>0.91</v>
      </c>
      <c r="Z1982">
        <v>2.5299999999999998</v>
      </c>
      <c r="AA1982">
        <v>1.1100000000000001</v>
      </c>
      <c r="AB1982">
        <v>0.97</v>
      </c>
      <c r="AC1982">
        <v>6.58</v>
      </c>
      <c r="AD1982">
        <v>6.54</v>
      </c>
      <c r="AE1982">
        <v>4.41</v>
      </c>
      <c r="AF1982">
        <v>3.69</v>
      </c>
      <c r="AG1982" t="str">
        <f>HYPERLINK("https://finance.naver.com/item/fchart.naver?code=033780", "KT&amp;G 차트보기")</f>
        <v>KT&amp;G 차트보기</v>
      </c>
    </row>
    <row r="1983" spans="1:33" x14ac:dyDescent="0.3">
      <c r="A1983" t="s">
        <v>7959</v>
      </c>
      <c r="B1983" t="s">
        <v>55</v>
      </c>
      <c r="C1983" t="s">
        <v>7960</v>
      </c>
      <c r="D1983">
        <v>270984.05</v>
      </c>
      <c r="E1983" t="s">
        <v>7961</v>
      </c>
      <c r="F1983">
        <v>0</v>
      </c>
      <c r="G1983">
        <v>0</v>
      </c>
      <c r="H1983">
        <v>0</v>
      </c>
      <c r="I1983">
        <v>0</v>
      </c>
      <c r="J1983" t="s">
        <v>7962</v>
      </c>
      <c r="K1983">
        <v>16830</v>
      </c>
      <c r="L1983">
        <v>9860</v>
      </c>
      <c r="M1983">
        <v>-41.41</v>
      </c>
      <c r="N1983">
        <v>-3.33</v>
      </c>
      <c r="O1983">
        <v>-26.66</v>
      </c>
      <c r="P1983">
        <v>9.8699999999999992</v>
      </c>
      <c r="Q1983">
        <v>-25.75</v>
      </c>
      <c r="R1983">
        <v>-17.09</v>
      </c>
      <c r="S1983">
        <v>3.16</v>
      </c>
      <c r="T1983">
        <v>5.1100000000000003</v>
      </c>
      <c r="U1983">
        <v>2.96</v>
      </c>
      <c r="V1983">
        <v>3.78</v>
      </c>
      <c r="W1983">
        <v>5.65</v>
      </c>
      <c r="X1983">
        <v>3.45</v>
      </c>
      <c r="Y1983">
        <v>8.4600000000000009</v>
      </c>
      <c r="Z1983">
        <v>0.65</v>
      </c>
      <c r="AA1983">
        <v>9.01</v>
      </c>
      <c r="AB1983">
        <v>2.61</v>
      </c>
      <c r="AC1983">
        <v>4.5599999999999996</v>
      </c>
      <c r="AD1983">
        <v>4.95</v>
      </c>
      <c r="AE1983">
        <v>0.37</v>
      </c>
      <c r="AF1983">
        <v>3.691666666666666</v>
      </c>
      <c r="AG1983" t="str">
        <f>HYPERLINK("https://finance.naver.com/item/fchart.naver?code=451250", "삐아 차트보기")</f>
        <v>삐아 차트보기</v>
      </c>
    </row>
    <row r="1984" spans="1:33" x14ac:dyDescent="0.3">
      <c r="A1984" t="s">
        <v>7963</v>
      </c>
      <c r="B1984" t="s">
        <v>55</v>
      </c>
      <c r="C1984" t="s">
        <v>7964</v>
      </c>
      <c r="D1984">
        <v>97219.67</v>
      </c>
      <c r="E1984" t="s">
        <v>7965</v>
      </c>
      <c r="F1984">
        <v>3.27</v>
      </c>
      <c r="G1984">
        <v>0.2099999934434891</v>
      </c>
      <c r="H1984">
        <v>259</v>
      </c>
      <c r="I1984">
        <v>0</v>
      </c>
      <c r="J1984" t="s">
        <v>7966</v>
      </c>
      <c r="K1984">
        <v>1009</v>
      </c>
      <c r="L1984">
        <v>847</v>
      </c>
      <c r="M1984">
        <v>-16.059999999999999</v>
      </c>
      <c r="N1984">
        <v>-2.64</v>
      </c>
      <c r="O1984">
        <v>-3.31</v>
      </c>
      <c r="P1984">
        <v>-4.22</v>
      </c>
      <c r="Q1984">
        <v>-11</v>
      </c>
      <c r="R1984">
        <v>4.84</v>
      </c>
      <c r="S1984">
        <v>1.3</v>
      </c>
      <c r="T1984">
        <v>1.1200000000000001</v>
      </c>
      <c r="U1984">
        <v>0.6</v>
      </c>
      <c r="V1984">
        <v>1.1399999999999999</v>
      </c>
      <c r="W1984">
        <v>2.1800000000000002</v>
      </c>
      <c r="X1984">
        <v>1.41</v>
      </c>
      <c r="Y1984">
        <v>0.62</v>
      </c>
      <c r="Z1984">
        <v>2.36</v>
      </c>
      <c r="AA1984">
        <v>5.52</v>
      </c>
      <c r="AB1984">
        <v>3.7</v>
      </c>
      <c r="AC1984">
        <v>5.05</v>
      </c>
      <c r="AD1984">
        <v>3.43</v>
      </c>
      <c r="AE1984">
        <v>2.1</v>
      </c>
      <c r="AF1984">
        <v>3.6933333333333329</v>
      </c>
      <c r="AG1984" t="str">
        <f>HYPERLINK("https://finance.naver.com/item/fchart.naver?code=097780", "에코볼트 차트보기")</f>
        <v>에코볼트 차트보기</v>
      </c>
    </row>
    <row r="1985" spans="1:33" x14ac:dyDescent="0.3">
      <c r="A1985" t="s">
        <v>7967</v>
      </c>
      <c r="B1985" t="s">
        <v>34</v>
      </c>
      <c r="C1985" t="s">
        <v>7968</v>
      </c>
      <c r="D1985">
        <v>51075.62</v>
      </c>
      <c r="E1985" t="s">
        <v>7969</v>
      </c>
      <c r="F1985">
        <v>4.83</v>
      </c>
      <c r="G1985">
        <v>0.79000002145767212</v>
      </c>
      <c r="H1985">
        <v>4966</v>
      </c>
      <c r="I1985">
        <v>3.75</v>
      </c>
      <c r="J1985" t="s">
        <v>7970</v>
      </c>
      <c r="K1985">
        <v>50900</v>
      </c>
      <c r="L1985">
        <v>24000</v>
      </c>
      <c r="M1985">
        <v>-52.85</v>
      </c>
      <c r="N1985">
        <v>-9.94</v>
      </c>
      <c r="O1985">
        <v>-9</v>
      </c>
      <c r="P1985">
        <v>-0.51</v>
      </c>
      <c r="Q1985">
        <v>-16.809999999999999</v>
      </c>
      <c r="R1985">
        <v>-21.37</v>
      </c>
      <c r="S1985">
        <v>-2.87</v>
      </c>
      <c r="T1985">
        <v>3.22</v>
      </c>
      <c r="U1985">
        <v>1.89</v>
      </c>
      <c r="V1985">
        <v>2.88</v>
      </c>
      <c r="W1985">
        <v>4.12</v>
      </c>
      <c r="X1985">
        <v>2.42</v>
      </c>
      <c r="Y1985">
        <v>2.34</v>
      </c>
      <c r="Z1985">
        <v>3.09</v>
      </c>
      <c r="AA1985">
        <v>4.76</v>
      </c>
      <c r="AB1985">
        <v>0.18</v>
      </c>
      <c r="AC1985">
        <v>4.08</v>
      </c>
      <c r="AD1985">
        <v>8.83</v>
      </c>
      <c r="AE1985">
        <v>1.23</v>
      </c>
      <c r="AF1985">
        <v>3.6949999999999998</v>
      </c>
      <c r="AG1985" t="str">
        <f>HYPERLINK("https://finance.naver.com/item/fchart.naver?code=195870", "해성디에스 차트보기")</f>
        <v>해성디에스 차트보기</v>
      </c>
    </row>
    <row r="1986" spans="1:33" x14ac:dyDescent="0.3">
      <c r="A1986" t="s">
        <v>7971</v>
      </c>
      <c r="B1986" t="s">
        <v>55</v>
      </c>
      <c r="C1986" t="s">
        <v>7972</v>
      </c>
      <c r="D1986">
        <v>40057.67</v>
      </c>
      <c r="E1986" t="s">
        <v>7973</v>
      </c>
      <c r="F1986">
        <v>22.82</v>
      </c>
      <c r="G1986">
        <v>0.75999999046325684</v>
      </c>
      <c r="H1986">
        <v>447</v>
      </c>
      <c r="I1986">
        <v>1.9600000381469731</v>
      </c>
      <c r="J1986" t="s">
        <v>7974</v>
      </c>
      <c r="K1986">
        <v>21350</v>
      </c>
      <c r="L1986">
        <v>10200</v>
      </c>
      <c r="M1986">
        <v>-52.22</v>
      </c>
      <c r="N1986">
        <v>0</v>
      </c>
      <c r="O1986">
        <v>-10.87</v>
      </c>
      <c r="P1986">
        <v>-11.84</v>
      </c>
      <c r="Q1986">
        <v>-12.64</v>
      </c>
      <c r="R1986">
        <v>-15.88</v>
      </c>
      <c r="S1986">
        <v>-11.75</v>
      </c>
      <c r="T1986">
        <v>3.61</v>
      </c>
      <c r="U1986">
        <v>3.25</v>
      </c>
      <c r="V1986">
        <v>3.34</v>
      </c>
      <c r="W1986">
        <v>4.8499999999999996</v>
      </c>
      <c r="X1986">
        <v>2.48</v>
      </c>
      <c r="Y1986">
        <v>1.87</v>
      </c>
      <c r="Z1986">
        <v>0</v>
      </c>
      <c r="AA1986">
        <v>3.34</v>
      </c>
      <c r="AB1986">
        <v>3.54</v>
      </c>
      <c r="AC1986">
        <v>2.61</v>
      </c>
      <c r="AD1986">
        <v>6.4</v>
      </c>
      <c r="AE1986">
        <v>6.28</v>
      </c>
      <c r="AF1986">
        <v>3.6949999999999998</v>
      </c>
      <c r="AG1986" t="str">
        <f>HYPERLINK("https://finance.naver.com/item/fchart.naver?code=092070", "디엔에프 차트보기")</f>
        <v>디엔에프 차트보기</v>
      </c>
    </row>
    <row r="1987" spans="1:33" x14ac:dyDescent="0.3">
      <c r="A1987" t="s">
        <v>7975</v>
      </c>
      <c r="B1987" t="s">
        <v>55</v>
      </c>
      <c r="C1987" t="s">
        <v>7976</v>
      </c>
      <c r="D1987">
        <v>3196130</v>
      </c>
      <c r="E1987" t="s">
        <v>7977</v>
      </c>
      <c r="F1987">
        <v>10.58</v>
      </c>
      <c r="G1987">
        <v>0.62000000476837158</v>
      </c>
      <c r="H1987">
        <v>90</v>
      </c>
      <c r="I1987">
        <v>1.049999952316284</v>
      </c>
      <c r="J1987" t="s">
        <v>7978</v>
      </c>
      <c r="K1987">
        <v>1672</v>
      </c>
      <c r="L1987">
        <v>952</v>
      </c>
      <c r="M1987">
        <v>-43.06</v>
      </c>
      <c r="N1987">
        <v>-3.84</v>
      </c>
      <c r="O1987">
        <v>23.47</v>
      </c>
      <c r="P1987">
        <v>-17.98</v>
      </c>
      <c r="Q1987">
        <v>-23.09</v>
      </c>
      <c r="R1987">
        <v>-0.24</v>
      </c>
      <c r="S1987">
        <v>-14.5</v>
      </c>
      <c r="T1987">
        <v>2.87</v>
      </c>
      <c r="U1987">
        <v>8.68</v>
      </c>
      <c r="V1987">
        <v>5.58</v>
      </c>
      <c r="W1987">
        <v>3.59</v>
      </c>
      <c r="X1987">
        <v>2.36</v>
      </c>
      <c r="Y1987">
        <v>1.73</v>
      </c>
      <c r="Z1987">
        <v>1.34</v>
      </c>
      <c r="AA1987">
        <v>2.7</v>
      </c>
      <c r="AB1987">
        <v>3.22</v>
      </c>
      <c r="AC1987">
        <v>6.43</v>
      </c>
      <c r="AD1987">
        <v>0.1</v>
      </c>
      <c r="AE1987">
        <v>8.3800000000000008</v>
      </c>
      <c r="AF1987">
        <v>3.6949999999999998</v>
      </c>
      <c r="AG1987" t="str">
        <f>HYPERLINK("https://finance.naver.com/item/fchart.naver?code=322780", "코퍼스코리아 차트보기")</f>
        <v>코퍼스코리아 차트보기</v>
      </c>
    </row>
    <row r="1988" spans="1:33" x14ac:dyDescent="0.3">
      <c r="A1988" t="s">
        <v>7979</v>
      </c>
      <c r="B1988" t="s">
        <v>55</v>
      </c>
      <c r="C1988" t="s">
        <v>7980</v>
      </c>
      <c r="D1988">
        <v>147813.57</v>
      </c>
      <c r="E1988" t="s">
        <v>7981</v>
      </c>
      <c r="F1988">
        <v>0</v>
      </c>
      <c r="G1988">
        <v>1.070000052452087</v>
      </c>
      <c r="H1988">
        <v>0</v>
      </c>
      <c r="I1988">
        <v>0</v>
      </c>
      <c r="J1988" t="s">
        <v>7982</v>
      </c>
      <c r="K1988">
        <v>2730</v>
      </c>
      <c r="L1988">
        <v>2510</v>
      </c>
      <c r="M1988">
        <v>-8.06</v>
      </c>
      <c r="N1988">
        <v>1.01</v>
      </c>
      <c r="O1988">
        <v>-7.73</v>
      </c>
      <c r="P1988">
        <v>-1.05</v>
      </c>
      <c r="Q1988">
        <v>-21.94</v>
      </c>
      <c r="R1988">
        <v>56.88</v>
      </c>
      <c r="S1988">
        <v>-9.2100000000000009</v>
      </c>
      <c r="T1988">
        <v>3.14</v>
      </c>
      <c r="U1988">
        <v>3.19</v>
      </c>
      <c r="V1988">
        <v>2.2200000000000002</v>
      </c>
      <c r="W1988">
        <v>6.9</v>
      </c>
      <c r="X1988">
        <v>8.11</v>
      </c>
      <c r="Y1988">
        <v>1.05</v>
      </c>
      <c r="Z1988">
        <v>0.32</v>
      </c>
      <c r="AA1988">
        <v>2.42</v>
      </c>
      <c r="AB1988">
        <v>0.47</v>
      </c>
      <c r="AC1988">
        <v>3.18</v>
      </c>
      <c r="AD1988">
        <v>7.01</v>
      </c>
      <c r="AE1988">
        <v>8.77</v>
      </c>
      <c r="AF1988">
        <v>3.6949999999999998</v>
      </c>
      <c r="AG1988" t="str">
        <f>HYPERLINK("https://finance.naver.com/item/fchart.naver?code=001840", "이화공영 차트보기")</f>
        <v>이화공영 차트보기</v>
      </c>
    </row>
    <row r="1989" spans="1:33" x14ac:dyDescent="0.3">
      <c r="A1989" t="s">
        <v>7983</v>
      </c>
      <c r="B1989" t="s">
        <v>55</v>
      </c>
      <c r="C1989" t="s">
        <v>7984</v>
      </c>
      <c r="D1989">
        <v>127510.29</v>
      </c>
      <c r="E1989" t="s">
        <v>7985</v>
      </c>
      <c r="F1989">
        <v>7.48</v>
      </c>
      <c r="G1989">
        <v>0.97000002861022949</v>
      </c>
      <c r="H1989">
        <v>1077</v>
      </c>
      <c r="I1989">
        <v>8.6800003051757813</v>
      </c>
      <c r="J1989" t="s">
        <v>7986</v>
      </c>
      <c r="K1989">
        <v>19950</v>
      </c>
      <c r="L1989">
        <v>8060</v>
      </c>
      <c r="M1989">
        <v>-59.6</v>
      </c>
      <c r="N1989">
        <v>-11.72</v>
      </c>
      <c r="O1989">
        <v>-3.85</v>
      </c>
      <c r="P1989">
        <v>-7.19</v>
      </c>
      <c r="Q1989">
        <v>-19.350000000000001</v>
      </c>
      <c r="R1989">
        <v>-15.12</v>
      </c>
      <c r="S1989">
        <v>-11.76</v>
      </c>
      <c r="T1989">
        <v>5</v>
      </c>
      <c r="U1989">
        <v>3.38</v>
      </c>
      <c r="V1989">
        <v>3.12</v>
      </c>
      <c r="W1989">
        <v>5.46</v>
      </c>
      <c r="X1989">
        <v>2.35</v>
      </c>
      <c r="Y1989">
        <v>1.83</v>
      </c>
      <c r="Z1989">
        <v>2.34</v>
      </c>
      <c r="AA1989">
        <v>1.1399999999999999</v>
      </c>
      <c r="AB1989">
        <v>2.2999999999999998</v>
      </c>
      <c r="AC1989">
        <v>3.54</v>
      </c>
      <c r="AD1989">
        <v>6.43</v>
      </c>
      <c r="AE1989">
        <v>6.43</v>
      </c>
      <c r="AF1989">
        <v>3.6966666666666672</v>
      </c>
      <c r="AG1989" t="str">
        <f>HYPERLINK("https://finance.naver.com/item/fchart.naver?code=425040", "티이엠씨 차트보기")</f>
        <v>티이엠씨 차트보기</v>
      </c>
    </row>
    <row r="1990" spans="1:33" x14ac:dyDescent="0.3">
      <c r="A1990" t="s">
        <v>7987</v>
      </c>
      <c r="B1990" t="s">
        <v>55</v>
      </c>
      <c r="C1990" t="s">
        <v>7988</v>
      </c>
      <c r="D1990">
        <v>7505</v>
      </c>
      <c r="E1990" t="s">
        <v>7989</v>
      </c>
      <c r="F1990">
        <v>0</v>
      </c>
      <c r="G1990">
        <v>0.8399999737739563</v>
      </c>
      <c r="H1990">
        <v>0</v>
      </c>
      <c r="I1990">
        <v>0</v>
      </c>
      <c r="J1990" t="s">
        <v>7990</v>
      </c>
      <c r="K1990">
        <v>5320</v>
      </c>
      <c r="L1990">
        <v>4500</v>
      </c>
      <c r="M1990">
        <v>-15.41</v>
      </c>
      <c r="N1990">
        <v>-2.0699999999999998</v>
      </c>
      <c r="O1990">
        <v>-1.49</v>
      </c>
      <c r="P1990">
        <v>4.21</v>
      </c>
      <c r="Q1990">
        <v>-4.2699999999999996</v>
      </c>
      <c r="R1990">
        <v>-12.03</v>
      </c>
      <c r="S1990">
        <v>-4.21</v>
      </c>
      <c r="T1990">
        <v>1.97</v>
      </c>
      <c r="U1990">
        <v>0.97</v>
      </c>
      <c r="V1990">
        <v>2.02</v>
      </c>
      <c r="W1990">
        <v>2.72</v>
      </c>
      <c r="X1990">
        <v>1</v>
      </c>
      <c r="Y1990">
        <v>1.07</v>
      </c>
      <c r="Z1990">
        <v>1.05</v>
      </c>
      <c r="AA1990">
        <v>1.54</v>
      </c>
      <c r="AB1990">
        <v>2.08</v>
      </c>
      <c r="AC1990">
        <v>1.57</v>
      </c>
      <c r="AD1990">
        <v>12.03</v>
      </c>
      <c r="AE1990">
        <v>3.93</v>
      </c>
      <c r="AF1990">
        <v>3.7</v>
      </c>
      <c r="AG1990" t="str">
        <f>HYPERLINK("https://finance.naver.com/item/fchart.naver?code=059100", "아이컴포넌트 차트보기")</f>
        <v>아이컴포넌트 차트보기</v>
      </c>
    </row>
    <row r="1991" spans="1:33" x14ac:dyDescent="0.3">
      <c r="A1991" t="s">
        <v>7991</v>
      </c>
      <c r="B1991" t="s">
        <v>34</v>
      </c>
      <c r="C1991" t="s">
        <v>7992</v>
      </c>
      <c r="D1991">
        <v>19596.669999999998</v>
      </c>
      <c r="E1991" t="s">
        <v>7993</v>
      </c>
      <c r="F1991">
        <v>24.54</v>
      </c>
      <c r="G1991">
        <v>1.2899999618530269</v>
      </c>
      <c r="H1991">
        <v>7957</v>
      </c>
      <c r="I1991">
        <v>3.3299999237060551</v>
      </c>
      <c r="J1991" t="s">
        <v>7994</v>
      </c>
      <c r="K1991">
        <v>372500</v>
      </c>
      <c r="L1991">
        <v>195300</v>
      </c>
      <c r="M1991">
        <v>-47.57</v>
      </c>
      <c r="N1991">
        <v>-19.13</v>
      </c>
      <c r="O1991">
        <v>-5</v>
      </c>
      <c r="P1991">
        <v>3.58</v>
      </c>
      <c r="Q1991">
        <v>-10.16</v>
      </c>
      <c r="R1991">
        <v>-15.22</v>
      </c>
      <c r="S1991">
        <v>3.85</v>
      </c>
      <c r="T1991">
        <v>4.1100000000000003</v>
      </c>
      <c r="U1991">
        <v>1.92</v>
      </c>
      <c r="V1991">
        <v>2.4300000000000002</v>
      </c>
      <c r="W1991">
        <v>3.27</v>
      </c>
      <c r="X1991">
        <v>1.8</v>
      </c>
      <c r="Y1991">
        <v>2.02</v>
      </c>
      <c r="Z1991">
        <v>4.6500000000000004</v>
      </c>
      <c r="AA1991">
        <v>2.6</v>
      </c>
      <c r="AB1991">
        <v>1.47</v>
      </c>
      <c r="AC1991">
        <v>3.11</v>
      </c>
      <c r="AD1991">
        <v>8.4600000000000009</v>
      </c>
      <c r="AE1991">
        <v>1.91</v>
      </c>
      <c r="AF1991">
        <v>3.7</v>
      </c>
      <c r="AG1991" t="str">
        <f>HYPERLINK("https://finance.naver.com/item/fchart.naver?code=298050", "HS효성첨단소재 차트보기")</f>
        <v>HS효성첨단소재 차트보기</v>
      </c>
    </row>
    <row r="1992" spans="1:33" x14ac:dyDescent="0.3">
      <c r="A1992" t="s">
        <v>7995</v>
      </c>
      <c r="B1992" t="s">
        <v>55</v>
      </c>
      <c r="C1992" t="s">
        <v>7996</v>
      </c>
      <c r="D1992">
        <v>11098.05</v>
      </c>
      <c r="E1992" t="s">
        <v>7997</v>
      </c>
      <c r="F1992">
        <v>12.9</v>
      </c>
      <c r="G1992">
        <v>0.49000000953674322</v>
      </c>
      <c r="H1992">
        <v>91</v>
      </c>
      <c r="I1992">
        <v>2.559999942779541</v>
      </c>
      <c r="J1992" t="s">
        <v>7998</v>
      </c>
      <c r="K1992">
        <v>1504</v>
      </c>
      <c r="L1992">
        <v>1174</v>
      </c>
      <c r="M1992">
        <v>-21.94</v>
      </c>
      <c r="N1992">
        <v>-0.25</v>
      </c>
      <c r="O1992">
        <v>-1.75</v>
      </c>
      <c r="P1992">
        <v>2</v>
      </c>
      <c r="Q1992">
        <v>-5.86</v>
      </c>
      <c r="R1992">
        <v>-7.16</v>
      </c>
      <c r="S1992">
        <v>-3.5</v>
      </c>
      <c r="T1992">
        <v>0.5</v>
      </c>
      <c r="U1992">
        <v>0.66</v>
      </c>
      <c r="V1992">
        <v>1.31</v>
      </c>
      <c r="W1992">
        <v>3.29</v>
      </c>
      <c r="X1992">
        <v>0.73</v>
      </c>
      <c r="Y1992">
        <v>0.59</v>
      </c>
      <c r="Z1992">
        <v>0.5</v>
      </c>
      <c r="AA1992">
        <v>2.65</v>
      </c>
      <c r="AB1992">
        <v>1.53</v>
      </c>
      <c r="AC1992">
        <v>1.78</v>
      </c>
      <c r="AD1992">
        <v>9.81</v>
      </c>
      <c r="AE1992">
        <v>5.93</v>
      </c>
      <c r="AF1992">
        <v>3.7</v>
      </c>
      <c r="AG1992" t="str">
        <f>HYPERLINK("https://finance.naver.com/item/fchart.naver?code=048830", "엔피케이 차트보기")</f>
        <v>엔피케이 차트보기</v>
      </c>
    </row>
    <row r="1993" spans="1:33" x14ac:dyDescent="0.3">
      <c r="A1993" t="s">
        <v>7999</v>
      </c>
      <c r="B1993" t="s">
        <v>55</v>
      </c>
      <c r="C1993" t="s">
        <v>8000</v>
      </c>
      <c r="D1993">
        <v>156492.19</v>
      </c>
      <c r="E1993" t="s">
        <v>8001</v>
      </c>
      <c r="F1993">
        <v>0</v>
      </c>
      <c r="G1993">
        <v>2.9900000095367432</v>
      </c>
      <c r="H1993">
        <v>0</v>
      </c>
      <c r="I1993">
        <v>0</v>
      </c>
      <c r="J1993" t="s">
        <v>8002</v>
      </c>
      <c r="K1993">
        <v>5790</v>
      </c>
      <c r="L1993">
        <v>6950</v>
      </c>
      <c r="M1993">
        <v>20.03</v>
      </c>
      <c r="N1993">
        <v>-11.01</v>
      </c>
      <c r="O1993">
        <v>6.43</v>
      </c>
      <c r="P1993">
        <v>-21.49</v>
      </c>
      <c r="Q1993">
        <v>-8.1</v>
      </c>
      <c r="R1993">
        <v>13.27</v>
      </c>
      <c r="S1993">
        <v>74.61</v>
      </c>
      <c r="T1993">
        <v>2.4300000000000002</v>
      </c>
      <c r="U1993">
        <v>4.1900000000000004</v>
      </c>
      <c r="V1993">
        <v>4.5</v>
      </c>
      <c r="W1993">
        <v>5.51</v>
      </c>
      <c r="X1993">
        <v>7.61</v>
      </c>
      <c r="Y1993">
        <v>9.16</v>
      </c>
      <c r="Z1993">
        <v>4.53</v>
      </c>
      <c r="AA1993">
        <v>1.53</v>
      </c>
      <c r="AB1993">
        <v>4.78</v>
      </c>
      <c r="AC1993">
        <v>1.47</v>
      </c>
      <c r="AD1993">
        <v>1.74</v>
      </c>
      <c r="AE1993">
        <v>8.15</v>
      </c>
      <c r="AF1993">
        <v>3.7000000000000011</v>
      </c>
      <c r="AG1993" t="str">
        <f>HYPERLINK("https://finance.naver.com/item/fchart.naver?code=293780", "압타바이오 차트보기")</f>
        <v>압타바이오 차트보기</v>
      </c>
    </row>
    <row r="1994" spans="1:33" x14ac:dyDescent="0.3">
      <c r="A1994" t="s">
        <v>8003</v>
      </c>
      <c r="B1994" t="s">
        <v>34</v>
      </c>
      <c r="C1994" t="s">
        <v>8004</v>
      </c>
      <c r="D1994">
        <v>1123350.3799999999</v>
      </c>
      <c r="E1994" t="s">
        <v>8005</v>
      </c>
      <c r="F1994">
        <v>0</v>
      </c>
      <c r="G1994">
        <v>1.049999952316284</v>
      </c>
      <c r="H1994">
        <v>0</v>
      </c>
      <c r="I1994">
        <v>0</v>
      </c>
      <c r="J1994" t="s">
        <v>8006</v>
      </c>
      <c r="K1994">
        <v>734</v>
      </c>
      <c r="L1994">
        <v>770</v>
      </c>
      <c r="M1994">
        <v>4.9000000000000004</v>
      </c>
      <c r="N1994">
        <v>7.39</v>
      </c>
      <c r="O1994">
        <v>-15.83</v>
      </c>
      <c r="P1994">
        <v>-8.5500000000000007</v>
      </c>
      <c r="Q1994">
        <v>-5.98</v>
      </c>
      <c r="R1994">
        <v>-6.16</v>
      </c>
      <c r="S1994">
        <v>30.97</v>
      </c>
      <c r="T1994">
        <v>2.38</v>
      </c>
      <c r="U1994">
        <v>1.48</v>
      </c>
      <c r="V1994">
        <v>2.95</v>
      </c>
      <c r="W1994">
        <v>3.67</v>
      </c>
      <c r="X1994">
        <v>4.2699999999999996</v>
      </c>
      <c r="Y1994">
        <v>12.77</v>
      </c>
      <c r="Z1994">
        <v>3.11</v>
      </c>
      <c r="AA1994">
        <v>10.7</v>
      </c>
      <c r="AB1994">
        <v>2.9</v>
      </c>
      <c r="AC1994">
        <v>1.63</v>
      </c>
      <c r="AD1994">
        <v>1.44</v>
      </c>
      <c r="AE1994">
        <v>2.4300000000000002</v>
      </c>
      <c r="AF1994">
        <v>3.7016666666666662</v>
      </c>
      <c r="AG1994" t="str">
        <f>HYPERLINK("https://finance.naver.com/item/fchart.naver?code=008970", "동양철관 차트보기")</f>
        <v>동양철관 차트보기</v>
      </c>
    </row>
    <row r="1995" spans="1:33" x14ac:dyDescent="0.3">
      <c r="A1995" t="s">
        <v>8007</v>
      </c>
      <c r="B1995" t="s">
        <v>34</v>
      </c>
      <c r="C1995" t="s">
        <v>8008</v>
      </c>
      <c r="D1995">
        <v>35061.620000000003</v>
      </c>
      <c r="E1995" t="s">
        <v>8009</v>
      </c>
      <c r="F1995">
        <v>3.6</v>
      </c>
      <c r="G1995">
        <v>0.34000000357627869</v>
      </c>
      <c r="H1995">
        <v>1009</v>
      </c>
      <c r="I1995">
        <v>4.130000114440918</v>
      </c>
      <c r="J1995" t="s">
        <v>8010</v>
      </c>
      <c r="K1995">
        <v>4150</v>
      </c>
      <c r="L1995">
        <v>3635</v>
      </c>
      <c r="M1995">
        <v>-12.41</v>
      </c>
      <c r="N1995">
        <v>-6.56</v>
      </c>
      <c r="O1995">
        <v>-5.43</v>
      </c>
      <c r="P1995">
        <v>0.24</v>
      </c>
      <c r="Q1995">
        <v>-11.69</v>
      </c>
      <c r="R1995">
        <v>1.92</v>
      </c>
      <c r="S1995">
        <v>7.48</v>
      </c>
      <c r="T1995">
        <v>1.25</v>
      </c>
      <c r="U1995">
        <v>0.75</v>
      </c>
      <c r="V1995">
        <v>1.27</v>
      </c>
      <c r="W1995">
        <v>3.37</v>
      </c>
      <c r="X1995">
        <v>2.84</v>
      </c>
      <c r="Y1995">
        <v>1.39</v>
      </c>
      <c r="Z1995">
        <v>5.25</v>
      </c>
      <c r="AA1995">
        <v>7.24</v>
      </c>
      <c r="AB1995">
        <v>0.19</v>
      </c>
      <c r="AC1995">
        <v>3.47</v>
      </c>
      <c r="AD1995">
        <v>0.68</v>
      </c>
      <c r="AE1995">
        <v>5.38</v>
      </c>
      <c r="AF1995">
        <v>3.7016666666666662</v>
      </c>
      <c r="AG1995" t="str">
        <f>HYPERLINK("https://finance.naver.com/item/fchart.naver?code=317400", "자이에스앤디 차트보기")</f>
        <v>자이에스앤디 차트보기</v>
      </c>
    </row>
    <row r="1996" spans="1:33" x14ac:dyDescent="0.3">
      <c r="A1996" t="s">
        <v>8011</v>
      </c>
      <c r="B1996" t="s">
        <v>55</v>
      </c>
      <c r="C1996" t="s">
        <v>8012</v>
      </c>
      <c r="D1996">
        <v>52191.57</v>
      </c>
      <c r="E1996" t="s">
        <v>8013</v>
      </c>
      <c r="F1996">
        <v>97.61</v>
      </c>
      <c r="G1996">
        <v>5.059999942779541</v>
      </c>
      <c r="H1996">
        <v>230</v>
      </c>
      <c r="I1996">
        <v>0</v>
      </c>
      <c r="J1996" t="s">
        <v>8014</v>
      </c>
      <c r="K1996">
        <v>21800</v>
      </c>
      <c r="L1996">
        <v>22450</v>
      </c>
      <c r="M1996">
        <v>2.98</v>
      </c>
      <c r="N1996">
        <v>16.989999999999998</v>
      </c>
      <c r="O1996">
        <v>-10.57</v>
      </c>
      <c r="P1996">
        <v>5.65</v>
      </c>
      <c r="Q1996">
        <v>-12.45</v>
      </c>
      <c r="R1996">
        <v>-7.63</v>
      </c>
      <c r="S1996">
        <v>27.92</v>
      </c>
      <c r="T1996">
        <v>4.34</v>
      </c>
      <c r="U1996">
        <v>1.91</v>
      </c>
      <c r="V1996">
        <v>2.46</v>
      </c>
      <c r="W1996">
        <v>5.61</v>
      </c>
      <c r="X1996">
        <v>3.37</v>
      </c>
      <c r="Y1996">
        <v>4.66</v>
      </c>
      <c r="Z1996">
        <v>3.91</v>
      </c>
      <c r="AA1996">
        <v>5.53</v>
      </c>
      <c r="AB1996">
        <v>2.2999999999999998</v>
      </c>
      <c r="AC1996">
        <v>2.2200000000000002</v>
      </c>
      <c r="AD1996">
        <v>2.2599999999999998</v>
      </c>
      <c r="AE1996">
        <v>5.99</v>
      </c>
      <c r="AF1996">
        <v>3.7016666666666671</v>
      </c>
      <c r="AG1996" t="str">
        <f>HYPERLINK("https://finance.naver.com/item/fchart.naver?code=123860", "아나패스 차트보기")</f>
        <v>아나패스 차트보기</v>
      </c>
    </row>
    <row r="1997" spans="1:33" x14ac:dyDescent="0.3">
      <c r="A1997" t="s">
        <v>8015</v>
      </c>
      <c r="B1997" t="s">
        <v>34</v>
      </c>
      <c r="C1997" t="s">
        <v>8016</v>
      </c>
      <c r="D1997">
        <v>90206.43</v>
      </c>
      <c r="E1997" t="s">
        <v>8017</v>
      </c>
      <c r="F1997">
        <v>0</v>
      </c>
      <c r="G1997">
        <v>0.92000001668930054</v>
      </c>
      <c r="H1997">
        <v>0</v>
      </c>
      <c r="I1997">
        <v>0</v>
      </c>
      <c r="J1997" t="s">
        <v>8018</v>
      </c>
      <c r="K1997">
        <v>4095</v>
      </c>
      <c r="L1997">
        <v>2575</v>
      </c>
      <c r="M1997">
        <v>-37.119999999999997</v>
      </c>
      <c r="N1997">
        <v>0.19</v>
      </c>
      <c r="O1997">
        <v>-8.09</v>
      </c>
      <c r="P1997">
        <v>-17.53</v>
      </c>
      <c r="Q1997">
        <v>21.54</v>
      </c>
      <c r="R1997">
        <v>-15.61</v>
      </c>
      <c r="S1997">
        <v>-11.87</v>
      </c>
      <c r="T1997">
        <v>2.12</v>
      </c>
      <c r="U1997">
        <v>2.82</v>
      </c>
      <c r="V1997">
        <v>3.41</v>
      </c>
      <c r="W1997">
        <v>7.64</v>
      </c>
      <c r="X1997">
        <v>2.4300000000000002</v>
      </c>
      <c r="Y1997">
        <v>2.42</v>
      </c>
      <c r="Z1997">
        <v>0.09</v>
      </c>
      <c r="AA1997">
        <v>2.87</v>
      </c>
      <c r="AB1997">
        <v>5.14</v>
      </c>
      <c r="AC1997">
        <v>2.82</v>
      </c>
      <c r="AD1997">
        <v>6.42</v>
      </c>
      <c r="AE1997">
        <v>4.9000000000000004</v>
      </c>
      <c r="AF1997">
        <v>3.706666666666667</v>
      </c>
      <c r="AG1997" t="str">
        <f>HYPERLINK("https://finance.naver.com/item/fchart.naver?code=011690", "와이투솔루션 차트보기")</f>
        <v>와이투솔루션 차트보기</v>
      </c>
    </row>
    <row r="1998" spans="1:33" x14ac:dyDescent="0.3">
      <c r="A1998" t="s">
        <v>8019</v>
      </c>
      <c r="B1998" t="s">
        <v>55</v>
      </c>
      <c r="C1998" t="s">
        <v>8020</v>
      </c>
      <c r="D1998">
        <v>22999.52</v>
      </c>
      <c r="E1998" t="s">
        <v>8021</v>
      </c>
      <c r="F1998">
        <v>13.35</v>
      </c>
      <c r="G1998">
        <v>0.30000001192092901</v>
      </c>
      <c r="H1998">
        <v>233</v>
      </c>
      <c r="I1998">
        <v>1.610000014305115</v>
      </c>
      <c r="J1998" t="s">
        <v>8022</v>
      </c>
      <c r="K1998">
        <v>4940</v>
      </c>
      <c r="L1998">
        <v>3110</v>
      </c>
      <c r="M1998">
        <v>-37.04</v>
      </c>
      <c r="N1998">
        <v>-2.35</v>
      </c>
      <c r="O1998">
        <v>-7.46</v>
      </c>
      <c r="P1998">
        <v>-0.71</v>
      </c>
      <c r="Q1998">
        <v>-8.2200000000000006</v>
      </c>
      <c r="R1998">
        <v>-8.48</v>
      </c>
      <c r="S1998">
        <v>-8.6199999999999992</v>
      </c>
      <c r="T1998">
        <v>1.5</v>
      </c>
      <c r="U1998">
        <v>0.85</v>
      </c>
      <c r="V1998">
        <v>1.48</v>
      </c>
      <c r="W1998">
        <v>4.41</v>
      </c>
      <c r="X1998">
        <v>1.81</v>
      </c>
      <c r="Y1998">
        <v>1.77</v>
      </c>
      <c r="Z1998">
        <v>1.57</v>
      </c>
      <c r="AA1998">
        <v>8.7799999999999994</v>
      </c>
      <c r="AB1998">
        <v>0.48</v>
      </c>
      <c r="AC1998">
        <v>1.86</v>
      </c>
      <c r="AD1998">
        <v>4.6900000000000004</v>
      </c>
      <c r="AE1998">
        <v>4.87</v>
      </c>
      <c r="AF1998">
        <v>3.708333333333333</v>
      </c>
      <c r="AG1998" t="str">
        <f>HYPERLINK("https://finance.naver.com/item/fchart.naver?code=066670", "디티씨 차트보기")</f>
        <v>디티씨 차트보기</v>
      </c>
    </row>
    <row r="1999" spans="1:33" x14ac:dyDescent="0.3">
      <c r="A1999" t="s">
        <v>8023</v>
      </c>
      <c r="B1999" t="s">
        <v>55</v>
      </c>
      <c r="C1999" t="s">
        <v>8024</v>
      </c>
      <c r="D1999">
        <v>980844.05</v>
      </c>
      <c r="E1999" t="s">
        <v>8025</v>
      </c>
      <c r="F1999">
        <v>26.09</v>
      </c>
      <c r="G1999">
        <v>3.4900000095367432</v>
      </c>
      <c r="H1999">
        <v>243</v>
      </c>
      <c r="I1999">
        <v>0</v>
      </c>
      <c r="J1999" t="s">
        <v>8026</v>
      </c>
      <c r="K1999">
        <v>20900</v>
      </c>
      <c r="L1999">
        <v>6340</v>
      </c>
      <c r="M1999">
        <v>-69.67</v>
      </c>
      <c r="N1999">
        <v>-13.39</v>
      </c>
      <c r="O1999">
        <v>-11.21</v>
      </c>
      <c r="P1999">
        <v>-13.54</v>
      </c>
      <c r="Q1999">
        <v>-6.59</v>
      </c>
      <c r="R1999">
        <v>-31.91</v>
      </c>
      <c r="S1999">
        <v>-8.36</v>
      </c>
      <c r="T1999">
        <v>4.3600000000000003</v>
      </c>
      <c r="U1999">
        <v>5.46</v>
      </c>
      <c r="V1999">
        <v>5.2</v>
      </c>
      <c r="W1999">
        <v>9.5399999999999991</v>
      </c>
      <c r="X1999">
        <v>2.89</v>
      </c>
      <c r="Y1999">
        <v>2.95</v>
      </c>
      <c r="Z1999">
        <v>3.07</v>
      </c>
      <c r="AA1999">
        <v>2.0499999999999998</v>
      </c>
      <c r="AB1999">
        <v>2.6</v>
      </c>
      <c r="AC1999">
        <v>0.69</v>
      </c>
      <c r="AD1999">
        <v>11.04</v>
      </c>
      <c r="AE1999">
        <v>2.83</v>
      </c>
      <c r="AF1999">
        <v>3.713333333333332</v>
      </c>
      <c r="AG1999" t="str">
        <f>HYPERLINK("https://finance.naver.com/item/fchart.naver?code=443670", "에스피소프트 차트보기")</f>
        <v>에스피소프트 차트보기</v>
      </c>
    </row>
    <row r="2000" spans="1:33" x14ac:dyDescent="0.3">
      <c r="A2000" t="s">
        <v>8027</v>
      </c>
      <c r="B2000" t="s">
        <v>55</v>
      </c>
      <c r="C2000" t="s">
        <v>8028</v>
      </c>
      <c r="D2000">
        <v>3300434.1</v>
      </c>
      <c r="E2000" t="s">
        <v>8029</v>
      </c>
      <c r="F2000">
        <v>48.5</v>
      </c>
      <c r="G2000">
        <v>5.4499998092651367</v>
      </c>
      <c r="H2000">
        <v>267</v>
      </c>
      <c r="I2000">
        <v>0</v>
      </c>
      <c r="J2000" t="s">
        <v>8030</v>
      </c>
      <c r="K2000">
        <v>9800</v>
      </c>
      <c r="L2000">
        <v>12950</v>
      </c>
      <c r="M2000">
        <v>32.14</v>
      </c>
      <c r="N2000">
        <v>9.75</v>
      </c>
      <c r="O2000">
        <v>55.42</v>
      </c>
      <c r="P2000">
        <v>-6.62</v>
      </c>
      <c r="Q2000">
        <v>-7.9</v>
      </c>
      <c r="R2000">
        <v>-7.66</v>
      </c>
      <c r="S2000">
        <v>-13.94</v>
      </c>
      <c r="T2000">
        <v>4.2699999999999996</v>
      </c>
      <c r="U2000">
        <v>5.65</v>
      </c>
      <c r="V2000">
        <v>2.77</v>
      </c>
      <c r="W2000">
        <v>3.59</v>
      </c>
      <c r="X2000">
        <v>4.0599999999999996</v>
      </c>
      <c r="Y2000">
        <v>3.76</v>
      </c>
      <c r="Z2000">
        <v>2.2799999999999998</v>
      </c>
      <c r="AA2000">
        <v>9.81</v>
      </c>
      <c r="AB2000">
        <v>2.39</v>
      </c>
      <c r="AC2000">
        <v>2.2000000000000002</v>
      </c>
      <c r="AD2000">
        <v>1.89</v>
      </c>
      <c r="AE2000">
        <v>3.71</v>
      </c>
      <c r="AF2000">
        <v>3.7133333333333329</v>
      </c>
      <c r="AG2000" t="str">
        <f>HYPERLINK("https://finance.naver.com/item/fchart.naver?code=083650", "비에이치아이 차트보기")</f>
        <v>비에이치아이 차트보기</v>
      </c>
    </row>
    <row r="2001" spans="1:33" x14ac:dyDescent="0.3">
      <c r="A2001" t="s">
        <v>8031</v>
      </c>
      <c r="B2001" t="s">
        <v>34</v>
      </c>
      <c r="C2001" t="s">
        <v>8032</v>
      </c>
      <c r="D2001">
        <v>153203.1</v>
      </c>
      <c r="E2001" t="s">
        <v>8033</v>
      </c>
      <c r="F2001">
        <v>93.5</v>
      </c>
      <c r="G2001">
        <v>5.4600000381469727</v>
      </c>
      <c r="H2001">
        <v>861</v>
      </c>
      <c r="I2001">
        <v>0</v>
      </c>
      <c r="J2001" t="s">
        <v>8034</v>
      </c>
      <c r="K2001">
        <v>144800</v>
      </c>
      <c r="L2001">
        <v>80500</v>
      </c>
      <c r="M2001">
        <v>-44.41</v>
      </c>
      <c r="N2001">
        <v>-19.010000000000002</v>
      </c>
      <c r="O2001">
        <v>-17</v>
      </c>
      <c r="P2001">
        <v>6.72</v>
      </c>
      <c r="Q2001">
        <v>-18.48</v>
      </c>
      <c r="R2001">
        <v>-11.7</v>
      </c>
      <c r="S2001">
        <v>-5.69</v>
      </c>
      <c r="T2001">
        <v>4.8099999999999996</v>
      </c>
      <c r="U2001">
        <v>2.91</v>
      </c>
      <c r="V2001">
        <v>5.21</v>
      </c>
      <c r="W2001">
        <v>4.43</v>
      </c>
      <c r="X2001">
        <v>2.23</v>
      </c>
      <c r="Y2001">
        <v>3.16</v>
      </c>
      <c r="Z2001">
        <v>3.95</v>
      </c>
      <c r="AA2001">
        <v>5.84</v>
      </c>
      <c r="AB2001">
        <v>1.29</v>
      </c>
      <c r="AC2001">
        <v>4.17</v>
      </c>
      <c r="AD2001">
        <v>5.25</v>
      </c>
      <c r="AE2001">
        <v>1.8</v>
      </c>
      <c r="AF2001">
        <v>3.7166666666666668</v>
      </c>
      <c r="AG2001" t="str">
        <f>HYPERLINK("https://finance.naver.com/item/fchart.naver?code=005070", "코스모신소재 차트보기")</f>
        <v>코스모신소재 차트보기</v>
      </c>
    </row>
    <row r="2002" spans="1:33" x14ac:dyDescent="0.3">
      <c r="A2002" t="s">
        <v>8035</v>
      </c>
      <c r="B2002" t="s">
        <v>34</v>
      </c>
      <c r="C2002" t="s">
        <v>8036</v>
      </c>
      <c r="D2002">
        <v>295143.19</v>
      </c>
      <c r="E2002" t="s">
        <v>8037</v>
      </c>
      <c r="F2002">
        <v>44.69</v>
      </c>
      <c r="G2002">
        <v>1.639999985694885</v>
      </c>
      <c r="H2002">
        <v>2609</v>
      </c>
      <c r="I2002">
        <v>0.77999997138977051</v>
      </c>
      <c r="J2002" t="s">
        <v>8038</v>
      </c>
      <c r="K2002">
        <v>176400</v>
      </c>
      <c r="L2002">
        <v>116600</v>
      </c>
      <c r="M2002">
        <v>-33.9</v>
      </c>
      <c r="N2002">
        <v>-3.08</v>
      </c>
      <c r="O2002">
        <v>-15.08</v>
      </c>
      <c r="P2002">
        <v>17.88</v>
      </c>
      <c r="Q2002">
        <v>-30.03</v>
      </c>
      <c r="R2002">
        <v>8.74</v>
      </c>
      <c r="S2002">
        <v>-10.63</v>
      </c>
      <c r="T2002">
        <v>3.49</v>
      </c>
      <c r="U2002">
        <v>2.72</v>
      </c>
      <c r="V2002">
        <v>3.75</v>
      </c>
      <c r="W2002">
        <v>6.12</v>
      </c>
      <c r="X2002">
        <v>3.66</v>
      </c>
      <c r="Y2002">
        <v>2.78</v>
      </c>
      <c r="Z2002">
        <v>0.88</v>
      </c>
      <c r="AA2002">
        <v>5.54</v>
      </c>
      <c r="AB2002">
        <v>4.7699999999999996</v>
      </c>
      <c r="AC2002">
        <v>4.91</v>
      </c>
      <c r="AD2002">
        <v>2.39</v>
      </c>
      <c r="AE2002">
        <v>3.82</v>
      </c>
      <c r="AF2002">
        <v>3.7183333333333342</v>
      </c>
      <c r="AG2002" t="str">
        <f>HYPERLINK("https://finance.naver.com/item/fchart.naver?code=090430", "아모레퍼시픽 차트보기")</f>
        <v>아모레퍼시픽 차트보기</v>
      </c>
    </row>
    <row r="2003" spans="1:33" x14ac:dyDescent="0.3">
      <c r="A2003" t="s">
        <v>8039</v>
      </c>
      <c r="B2003" t="s">
        <v>34</v>
      </c>
      <c r="C2003" t="s">
        <v>8040</v>
      </c>
      <c r="D2003">
        <v>10425451.9</v>
      </c>
      <c r="E2003" t="s">
        <v>8041</v>
      </c>
      <c r="F2003">
        <v>85.43</v>
      </c>
      <c r="G2003">
        <v>1.470000028610229</v>
      </c>
      <c r="H2003">
        <v>14</v>
      </c>
      <c r="I2003">
        <v>0.41999998688697809</v>
      </c>
      <c r="J2003" t="s">
        <v>8042</v>
      </c>
      <c r="K2003">
        <v>1165</v>
      </c>
      <c r="L2003">
        <v>1196</v>
      </c>
      <c r="M2003">
        <v>2.66</v>
      </c>
      <c r="N2003">
        <v>-0.83</v>
      </c>
      <c r="O2003">
        <v>27</v>
      </c>
      <c r="P2003">
        <v>-7.35</v>
      </c>
      <c r="Q2003">
        <v>-7.79</v>
      </c>
      <c r="R2003">
        <v>-5.05</v>
      </c>
      <c r="S2003">
        <v>7.3</v>
      </c>
      <c r="T2003">
        <v>3.39</v>
      </c>
      <c r="U2003">
        <v>9.18</v>
      </c>
      <c r="V2003">
        <v>1.38</v>
      </c>
      <c r="W2003">
        <v>3.07</v>
      </c>
      <c r="X2003">
        <v>1.17</v>
      </c>
      <c r="Y2003">
        <v>1.05</v>
      </c>
      <c r="Z2003">
        <v>0.24</v>
      </c>
      <c r="AA2003">
        <v>2.94</v>
      </c>
      <c r="AB2003">
        <v>5.33</v>
      </c>
      <c r="AC2003">
        <v>2.54</v>
      </c>
      <c r="AD2003">
        <v>4.32</v>
      </c>
      <c r="AE2003">
        <v>6.95</v>
      </c>
      <c r="AF2003">
        <v>3.72</v>
      </c>
      <c r="AG2003" t="str">
        <f>HYPERLINK("https://finance.naver.com/item/fchart.naver?code=002760", "보락 차트보기")</f>
        <v>보락 차트보기</v>
      </c>
    </row>
    <row r="2004" spans="1:33" x14ac:dyDescent="0.3">
      <c r="A2004" t="s">
        <v>8043</v>
      </c>
      <c r="B2004" t="s">
        <v>55</v>
      </c>
      <c r="C2004" t="s">
        <v>8044</v>
      </c>
      <c r="D2004">
        <v>12918.57</v>
      </c>
      <c r="E2004" t="s">
        <v>8045</v>
      </c>
      <c r="F2004">
        <v>0</v>
      </c>
      <c r="G2004">
        <v>0.51999998092651367</v>
      </c>
      <c r="H2004">
        <v>0</v>
      </c>
      <c r="I2004">
        <v>0</v>
      </c>
      <c r="J2004" t="s">
        <v>8046</v>
      </c>
      <c r="K2004">
        <v>2042</v>
      </c>
      <c r="L2004">
        <v>1521</v>
      </c>
      <c r="M2004">
        <v>-25.51</v>
      </c>
      <c r="N2004">
        <v>-7.0000000000000007E-2</v>
      </c>
      <c r="O2004">
        <v>-10.56</v>
      </c>
      <c r="P2004">
        <v>-4.38</v>
      </c>
      <c r="Q2004">
        <v>-9.43</v>
      </c>
      <c r="R2004">
        <v>2.93</v>
      </c>
      <c r="S2004">
        <v>-3.7</v>
      </c>
      <c r="T2004">
        <v>0.23</v>
      </c>
      <c r="U2004">
        <v>1.45</v>
      </c>
      <c r="V2004">
        <v>0.99</v>
      </c>
      <c r="W2004">
        <v>1.99</v>
      </c>
      <c r="X2004">
        <v>1.52</v>
      </c>
      <c r="Y2004">
        <v>1.01</v>
      </c>
      <c r="Z2004">
        <v>0.3</v>
      </c>
      <c r="AA2004">
        <v>7.28</v>
      </c>
      <c r="AB2004">
        <v>4.42</v>
      </c>
      <c r="AC2004">
        <v>4.74</v>
      </c>
      <c r="AD2004">
        <v>1.93</v>
      </c>
      <c r="AE2004">
        <v>3.66</v>
      </c>
      <c r="AF2004">
        <v>3.7216666666666671</v>
      </c>
      <c r="AG2004" t="str">
        <f>HYPERLINK("https://finance.naver.com/item/fchart.naver?code=021040", "대호특수강 차트보기")</f>
        <v>대호특수강 차트보기</v>
      </c>
    </row>
    <row r="2005" spans="1:33" x14ac:dyDescent="0.3">
      <c r="A2005" t="s">
        <v>8047</v>
      </c>
      <c r="B2005" t="s">
        <v>34</v>
      </c>
      <c r="C2005" t="s">
        <v>8048</v>
      </c>
      <c r="D2005">
        <v>82111.86</v>
      </c>
      <c r="E2005" t="s">
        <v>8049</v>
      </c>
      <c r="F2005">
        <v>89.6</v>
      </c>
      <c r="G2005">
        <v>0.20000000298023221</v>
      </c>
      <c r="H2005">
        <v>5</v>
      </c>
      <c r="I2005">
        <v>0</v>
      </c>
      <c r="J2005" t="s">
        <v>8050</v>
      </c>
      <c r="K2005">
        <v>676</v>
      </c>
      <c r="L2005">
        <v>448</v>
      </c>
      <c r="M2005">
        <v>-33.729999999999997</v>
      </c>
      <c r="N2005">
        <v>0.22</v>
      </c>
      <c r="O2005">
        <v>-6.11</v>
      </c>
      <c r="P2005">
        <v>-1.05</v>
      </c>
      <c r="Q2005">
        <v>-21.77</v>
      </c>
      <c r="R2005">
        <v>-3.59</v>
      </c>
      <c r="S2005">
        <v>-2.6</v>
      </c>
      <c r="T2005">
        <v>1.27</v>
      </c>
      <c r="U2005">
        <v>1.34</v>
      </c>
      <c r="V2005">
        <v>1.92</v>
      </c>
      <c r="W2005">
        <v>2.2599999999999998</v>
      </c>
      <c r="X2005">
        <v>0.94</v>
      </c>
      <c r="Y2005">
        <v>0.72</v>
      </c>
      <c r="Z2005">
        <v>0.17</v>
      </c>
      <c r="AA2005">
        <v>4.5599999999999996</v>
      </c>
      <c r="AB2005">
        <v>0.55000000000000004</v>
      </c>
      <c r="AC2005">
        <v>9.6300000000000008</v>
      </c>
      <c r="AD2005">
        <v>3.82</v>
      </c>
      <c r="AE2005">
        <v>3.61</v>
      </c>
      <c r="AF2005">
        <v>3.7233333333333332</v>
      </c>
      <c r="AG2005" t="str">
        <f>HYPERLINK("https://finance.naver.com/item/fchart.naver?code=001290", "상상인증권 차트보기")</f>
        <v>상상인증권 차트보기</v>
      </c>
    </row>
    <row r="2006" spans="1:33" x14ac:dyDescent="0.3">
      <c r="A2006" t="s">
        <v>8051</v>
      </c>
      <c r="B2006" t="s">
        <v>34</v>
      </c>
      <c r="C2006" t="s">
        <v>8052</v>
      </c>
      <c r="D2006">
        <v>117070.33</v>
      </c>
      <c r="E2006" t="s">
        <v>8053</v>
      </c>
      <c r="F2006">
        <v>16.5</v>
      </c>
      <c r="G2006">
        <v>1.2699999809265139</v>
      </c>
      <c r="H2006">
        <v>477</v>
      </c>
      <c r="I2006">
        <v>0.63999998569488525</v>
      </c>
      <c r="J2006" t="s">
        <v>8054</v>
      </c>
      <c r="K2006">
        <v>8270</v>
      </c>
      <c r="L2006">
        <v>7870</v>
      </c>
      <c r="M2006">
        <v>-4.84</v>
      </c>
      <c r="N2006">
        <v>-0.25</v>
      </c>
      <c r="O2006">
        <v>24.53</v>
      </c>
      <c r="P2006">
        <v>-3.64</v>
      </c>
      <c r="Q2006">
        <v>-4.7</v>
      </c>
      <c r="R2006">
        <v>-13.64</v>
      </c>
      <c r="S2006">
        <v>-5.16</v>
      </c>
      <c r="T2006">
        <v>3.63</v>
      </c>
      <c r="U2006">
        <v>3.04</v>
      </c>
      <c r="V2006">
        <v>2.4300000000000002</v>
      </c>
      <c r="W2006">
        <v>4.8099999999999996</v>
      </c>
      <c r="X2006">
        <v>1.77</v>
      </c>
      <c r="Y2006">
        <v>1.28</v>
      </c>
      <c r="Z2006">
        <v>7.0000000000000007E-2</v>
      </c>
      <c r="AA2006">
        <v>8.07</v>
      </c>
      <c r="AB2006">
        <v>1.5</v>
      </c>
      <c r="AC2006">
        <v>0.98</v>
      </c>
      <c r="AD2006">
        <v>7.71</v>
      </c>
      <c r="AE2006">
        <v>4.03</v>
      </c>
      <c r="AF2006">
        <v>3.726666666666667</v>
      </c>
      <c r="AG2006" t="str">
        <f>HYPERLINK("https://finance.naver.com/item/fchart.naver?code=017370", "우신시스템 차트보기")</f>
        <v>우신시스템 차트보기</v>
      </c>
    </row>
    <row r="2007" spans="1:33" x14ac:dyDescent="0.3">
      <c r="A2007" t="s">
        <v>8055</v>
      </c>
      <c r="B2007" t="s">
        <v>55</v>
      </c>
      <c r="C2007" t="s">
        <v>8056</v>
      </c>
      <c r="D2007">
        <v>18836.099999999999</v>
      </c>
      <c r="E2007" t="s">
        <v>8057</v>
      </c>
      <c r="F2007">
        <v>326.14999999999998</v>
      </c>
      <c r="G2007">
        <v>0.40999999642372131</v>
      </c>
      <c r="H2007">
        <v>13</v>
      </c>
      <c r="I2007">
        <v>1.6499999761581421</v>
      </c>
      <c r="J2007" t="s">
        <v>8058</v>
      </c>
      <c r="K2007">
        <v>5020</v>
      </c>
      <c r="L2007">
        <v>4240</v>
      </c>
      <c r="M2007">
        <v>-15.54</v>
      </c>
      <c r="N2007">
        <v>1.68</v>
      </c>
      <c r="O2007">
        <v>-2.5099999999999998</v>
      </c>
      <c r="P2007">
        <v>6.06</v>
      </c>
      <c r="Q2007">
        <v>-6.95</v>
      </c>
      <c r="R2007">
        <v>-4.75</v>
      </c>
      <c r="S2007">
        <v>-3.56</v>
      </c>
      <c r="T2007">
        <v>1.33</v>
      </c>
      <c r="U2007">
        <v>1.4</v>
      </c>
      <c r="V2007">
        <v>2.2000000000000002</v>
      </c>
      <c r="W2007">
        <v>2.99</v>
      </c>
      <c r="X2007">
        <v>0.53</v>
      </c>
      <c r="Y2007">
        <v>0.67</v>
      </c>
      <c r="Z2007">
        <v>1.26</v>
      </c>
      <c r="AA2007">
        <v>1.79</v>
      </c>
      <c r="AB2007">
        <v>2.75</v>
      </c>
      <c r="AC2007">
        <v>2.3199999999999998</v>
      </c>
      <c r="AD2007">
        <v>8.9600000000000009</v>
      </c>
      <c r="AE2007">
        <v>5.31</v>
      </c>
      <c r="AF2007">
        <v>3.731666666666666</v>
      </c>
      <c r="AG2007" t="str">
        <f>HYPERLINK("https://finance.naver.com/item/fchart.naver?code=032750", "삼진 차트보기")</f>
        <v>삼진 차트보기</v>
      </c>
    </row>
    <row r="2008" spans="1:33" x14ac:dyDescent="0.3">
      <c r="A2008" t="s">
        <v>8059</v>
      </c>
      <c r="B2008" t="s">
        <v>55</v>
      </c>
      <c r="C2008" t="s">
        <v>8060</v>
      </c>
      <c r="D2008">
        <v>5154</v>
      </c>
      <c r="E2008" t="s">
        <v>8061</v>
      </c>
      <c r="F2008">
        <v>7.4</v>
      </c>
      <c r="G2008">
        <v>0.85000002384185791</v>
      </c>
      <c r="H2008">
        <v>674</v>
      </c>
      <c r="I2008">
        <v>3.6500000953674321</v>
      </c>
      <c r="J2008" t="s">
        <v>8062</v>
      </c>
      <c r="K2008">
        <v>5830</v>
      </c>
      <c r="L2008">
        <v>4985</v>
      </c>
      <c r="M2008">
        <v>-14.49</v>
      </c>
      <c r="N2008">
        <v>-2.25</v>
      </c>
      <c r="O2008">
        <v>-1.73</v>
      </c>
      <c r="P2008">
        <v>3.37</v>
      </c>
      <c r="Q2008">
        <v>2.94</v>
      </c>
      <c r="R2008">
        <v>-13.29</v>
      </c>
      <c r="S2008">
        <v>-1.05</v>
      </c>
      <c r="T2008">
        <v>1.3</v>
      </c>
      <c r="U2008">
        <v>0.87</v>
      </c>
      <c r="V2008">
        <v>0.91</v>
      </c>
      <c r="W2008">
        <v>1.8</v>
      </c>
      <c r="X2008">
        <v>1.0900000000000001</v>
      </c>
      <c r="Y2008">
        <v>0.91</v>
      </c>
      <c r="Z2008">
        <v>1.73</v>
      </c>
      <c r="AA2008">
        <v>1.99</v>
      </c>
      <c r="AB2008">
        <v>3.7</v>
      </c>
      <c r="AC2008">
        <v>1.63</v>
      </c>
      <c r="AD2008">
        <v>12.19</v>
      </c>
      <c r="AE2008">
        <v>1.1499999999999999</v>
      </c>
      <c r="AF2008">
        <v>3.7316666666666669</v>
      </c>
      <c r="AG2008" t="str">
        <f>HYPERLINK("https://finance.naver.com/item/fchart.naver?code=130580", "나이스디앤비 차트보기")</f>
        <v>나이스디앤비 차트보기</v>
      </c>
    </row>
    <row r="2009" spans="1:33" x14ac:dyDescent="0.3">
      <c r="A2009" t="s">
        <v>8063</v>
      </c>
      <c r="B2009" t="s">
        <v>55</v>
      </c>
      <c r="C2009" t="s">
        <v>8064</v>
      </c>
      <c r="D2009">
        <v>18730.57</v>
      </c>
      <c r="E2009" t="s">
        <v>8065</v>
      </c>
      <c r="F2009">
        <v>0</v>
      </c>
      <c r="G2009">
        <v>0.28999999165534968</v>
      </c>
      <c r="H2009">
        <v>0</v>
      </c>
      <c r="I2009">
        <v>0</v>
      </c>
      <c r="J2009" t="s">
        <v>8066</v>
      </c>
      <c r="K2009">
        <v>2360</v>
      </c>
      <c r="L2009">
        <v>1805</v>
      </c>
      <c r="M2009">
        <v>-23.52</v>
      </c>
      <c r="N2009">
        <v>2.15</v>
      </c>
      <c r="O2009">
        <v>-3.71</v>
      </c>
      <c r="P2009">
        <v>-12.06</v>
      </c>
      <c r="Q2009">
        <v>24.2</v>
      </c>
      <c r="R2009">
        <v>-16.579999999999998</v>
      </c>
      <c r="S2009">
        <v>-3.42</v>
      </c>
      <c r="T2009">
        <v>0.98</v>
      </c>
      <c r="U2009">
        <v>1.66</v>
      </c>
      <c r="V2009">
        <v>6.19</v>
      </c>
      <c r="W2009">
        <v>9.75</v>
      </c>
      <c r="X2009">
        <v>1.47</v>
      </c>
      <c r="Y2009">
        <v>1.51</v>
      </c>
      <c r="Z2009">
        <v>2.19</v>
      </c>
      <c r="AA2009">
        <v>2.23</v>
      </c>
      <c r="AB2009">
        <v>1.95</v>
      </c>
      <c r="AC2009">
        <v>2.48</v>
      </c>
      <c r="AD2009">
        <v>11.28</v>
      </c>
      <c r="AE2009">
        <v>2.2599999999999998</v>
      </c>
      <c r="AF2009">
        <v>3.7316666666666669</v>
      </c>
      <c r="AG2009" t="str">
        <f>HYPERLINK("https://finance.naver.com/item/fchart.naver?code=050120", "ES큐브 차트보기")</f>
        <v>ES큐브 차트보기</v>
      </c>
    </row>
    <row r="2010" spans="1:33" x14ac:dyDescent="0.3">
      <c r="A2010" t="s">
        <v>8067</v>
      </c>
      <c r="B2010" t="s">
        <v>55</v>
      </c>
      <c r="C2010" t="s">
        <v>8068</v>
      </c>
      <c r="D2010">
        <v>49822.48</v>
      </c>
      <c r="E2010" t="s">
        <v>8069</v>
      </c>
      <c r="F2010">
        <v>8.4499999999999993</v>
      </c>
      <c r="G2010">
        <v>0.97000002861022949</v>
      </c>
      <c r="H2010">
        <v>894</v>
      </c>
      <c r="I2010">
        <v>1.320000052452087</v>
      </c>
      <c r="J2010" t="s">
        <v>8070</v>
      </c>
      <c r="K2010">
        <v>8080</v>
      </c>
      <c r="L2010">
        <v>7550</v>
      </c>
      <c r="M2010">
        <v>-6.56</v>
      </c>
      <c r="N2010">
        <v>-1.95</v>
      </c>
      <c r="O2010">
        <v>-3.94</v>
      </c>
      <c r="P2010">
        <v>-9.11</v>
      </c>
      <c r="Q2010">
        <v>-4.17</v>
      </c>
      <c r="R2010">
        <v>27.13</v>
      </c>
      <c r="S2010">
        <v>-7.85</v>
      </c>
      <c r="T2010">
        <v>1.1200000000000001</v>
      </c>
      <c r="U2010">
        <v>1.76</v>
      </c>
      <c r="V2010">
        <v>1.98</v>
      </c>
      <c r="W2010">
        <v>3.08</v>
      </c>
      <c r="X2010">
        <v>5.99</v>
      </c>
      <c r="Y2010">
        <v>0.99</v>
      </c>
      <c r="Z2010">
        <v>1.74</v>
      </c>
      <c r="AA2010">
        <v>2.2400000000000002</v>
      </c>
      <c r="AB2010">
        <v>4.5999999999999996</v>
      </c>
      <c r="AC2010">
        <v>1.35</v>
      </c>
      <c r="AD2010">
        <v>4.53</v>
      </c>
      <c r="AE2010">
        <v>7.93</v>
      </c>
      <c r="AF2010">
        <v>3.7316666666666669</v>
      </c>
      <c r="AG2010" t="str">
        <f>HYPERLINK("https://finance.naver.com/item/fchart.naver?code=054670", "대한뉴팜 차트보기")</f>
        <v>대한뉴팜 차트보기</v>
      </c>
    </row>
    <row r="2011" spans="1:33" x14ac:dyDescent="0.3">
      <c r="A2011" t="s">
        <v>8071</v>
      </c>
      <c r="B2011" t="s">
        <v>55</v>
      </c>
      <c r="C2011" t="s">
        <v>8072</v>
      </c>
      <c r="D2011">
        <v>135034.14000000001</v>
      </c>
      <c r="E2011" t="s">
        <v>8073</v>
      </c>
      <c r="F2011">
        <v>0</v>
      </c>
      <c r="G2011">
        <v>4.0399999618530273</v>
      </c>
      <c r="H2011">
        <v>0</v>
      </c>
      <c r="I2011">
        <v>0</v>
      </c>
      <c r="J2011" t="s">
        <v>8074</v>
      </c>
      <c r="K2011">
        <v>14070</v>
      </c>
      <c r="L2011">
        <v>14360</v>
      </c>
      <c r="M2011">
        <v>2.06</v>
      </c>
      <c r="N2011">
        <v>-12.39</v>
      </c>
      <c r="O2011">
        <v>-5.28</v>
      </c>
      <c r="P2011">
        <v>-6.14</v>
      </c>
      <c r="Q2011">
        <v>-2.7</v>
      </c>
      <c r="R2011">
        <v>123.74</v>
      </c>
      <c r="S2011">
        <v>-20.48</v>
      </c>
      <c r="T2011">
        <v>3.83</v>
      </c>
      <c r="U2011">
        <v>3.69</v>
      </c>
      <c r="V2011">
        <v>7.32</v>
      </c>
      <c r="W2011">
        <v>6.27</v>
      </c>
      <c r="X2011">
        <v>11.91</v>
      </c>
      <c r="Y2011">
        <v>3.37</v>
      </c>
      <c r="Z2011">
        <v>3.23</v>
      </c>
      <c r="AA2011">
        <v>1.43</v>
      </c>
      <c r="AB2011">
        <v>0.84</v>
      </c>
      <c r="AC2011">
        <v>0.43</v>
      </c>
      <c r="AD2011">
        <v>10.39</v>
      </c>
      <c r="AE2011">
        <v>6.08</v>
      </c>
      <c r="AF2011">
        <v>3.7333333333333329</v>
      </c>
      <c r="AG2011" t="str">
        <f>HYPERLINK("https://finance.naver.com/item/fchart.naver?code=214260", "라파스 차트보기")</f>
        <v>라파스 차트보기</v>
      </c>
    </row>
    <row r="2012" spans="1:33" x14ac:dyDescent="0.3">
      <c r="A2012" t="s">
        <v>8075</v>
      </c>
      <c r="B2012" t="s">
        <v>55</v>
      </c>
      <c r="C2012" t="s">
        <v>8076</v>
      </c>
      <c r="D2012">
        <v>258249.48</v>
      </c>
      <c r="E2012" t="s">
        <v>8077</v>
      </c>
      <c r="F2012">
        <v>6.78</v>
      </c>
      <c r="G2012">
        <v>0.70999997854232788</v>
      </c>
      <c r="H2012">
        <v>2129</v>
      </c>
      <c r="I2012">
        <v>1.179999947547913</v>
      </c>
      <c r="J2012" t="s">
        <v>8078</v>
      </c>
      <c r="K2012">
        <v>12900</v>
      </c>
      <c r="L2012">
        <v>14430</v>
      </c>
      <c r="M2012">
        <v>11.86</v>
      </c>
      <c r="N2012">
        <v>17.03</v>
      </c>
      <c r="O2012">
        <v>-9.6</v>
      </c>
      <c r="P2012">
        <v>-4.68</v>
      </c>
      <c r="Q2012">
        <v>-11.92</v>
      </c>
      <c r="R2012">
        <v>27.37</v>
      </c>
      <c r="S2012">
        <v>-1.59</v>
      </c>
      <c r="T2012">
        <v>2.5</v>
      </c>
      <c r="U2012">
        <v>1.88</v>
      </c>
      <c r="V2012">
        <v>2.74</v>
      </c>
      <c r="W2012">
        <v>5.31</v>
      </c>
      <c r="X2012">
        <v>4.43</v>
      </c>
      <c r="Y2012">
        <v>4.5199999999999996</v>
      </c>
      <c r="Z2012">
        <v>6.81</v>
      </c>
      <c r="AA2012">
        <v>5.1100000000000003</v>
      </c>
      <c r="AB2012">
        <v>1.71</v>
      </c>
      <c r="AC2012">
        <v>2.2400000000000002</v>
      </c>
      <c r="AD2012">
        <v>6.18</v>
      </c>
      <c r="AE2012">
        <v>0.35</v>
      </c>
      <c r="AF2012">
        <v>3.7333333333333329</v>
      </c>
      <c r="AG2012" t="str">
        <f>HYPERLINK("https://finance.naver.com/item/fchart.naver?code=023160", "태광 차트보기")</f>
        <v>태광 차트보기</v>
      </c>
    </row>
    <row r="2013" spans="1:33" x14ac:dyDescent="0.3">
      <c r="A2013" t="s">
        <v>8079</v>
      </c>
      <c r="B2013" t="s">
        <v>55</v>
      </c>
      <c r="C2013" t="s">
        <v>8080</v>
      </c>
      <c r="D2013">
        <v>38277.86</v>
      </c>
      <c r="E2013" t="s">
        <v>8081</v>
      </c>
      <c r="F2013">
        <v>6.01</v>
      </c>
      <c r="G2013">
        <v>0.73000001907348633</v>
      </c>
      <c r="H2013">
        <v>381</v>
      </c>
      <c r="I2013">
        <v>3.4900000095367432</v>
      </c>
      <c r="J2013" t="s">
        <v>8082</v>
      </c>
      <c r="K2013">
        <v>3620</v>
      </c>
      <c r="L2013">
        <v>2290</v>
      </c>
      <c r="M2013">
        <v>-36.74</v>
      </c>
      <c r="N2013">
        <v>-2.14</v>
      </c>
      <c r="O2013">
        <v>1.07</v>
      </c>
      <c r="P2013">
        <v>-11.24</v>
      </c>
      <c r="Q2013">
        <v>-5.28</v>
      </c>
      <c r="R2013">
        <v>-9.6</v>
      </c>
      <c r="S2013">
        <v>-13.18</v>
      </c>
      <c r="T2013">
        <v>1.28</v>
      </c>
      <c r="U2013">
        <v>1.17</v>
      </c>
      <c r="V2013">
        <v>2.39</v>
      </c>
      <c r="W2013">
        <v>7.72</v>
      </c>
      <c r="X2013">
        <v>1.77</v>
      </c>
      <c r="Y2013">
        <v>1.46</v>
      </c>
      <c r="Z2013">
        <v>1.67</v>
      </c>
      <c r="AA2013">
        <v>0.91</v>
      </c>
      <c r="AB2013">
        <v>4.7</v>
      </c>
      <c r="AC2013">
        <v>0.68</v>
      </c>
      <c r="AD2013">
        <v>5.42</v>
      </c>
      <c r="AE2013">
        <v>9.0299999999999994</v>
      </c>
      <c r="AF2013">
        <v>3.734999999999999</v>
      </c>
      <c r="AG2013" t="str">
        <f>HYPERLINK("https://finance.naver.com/item/fchart.naver?code=052460", "아이크래프트 차트보기")</f>
        <v>아이크래프트 차트보기</v>
      </c>
    </row>
    <row r="2014" spans="1:33" x14ac:dyDescent="0.3">
      <c r="A2014" t="s">
        <v>8083</v>
      </c>
      <c r="B2014" t="s">
        <v>55</v>
      </c>
      <c r="C2014" t="s">
        <v>8084</v>
      </c>
      <c r="D2014">
        <v>71212.570000000007</v>
      </c>
      <c r="E2014" t="s">
        <v>8085</v>
      </c>
      <c r="F2014">
        <v>0</v>
      </c>
      <c r="G2014">
        <v>1.1000000238418579</v>
      </c>
      <c r="H2014">
        <v>0</v>
      </c>
      <c r="I2014">
        <v>0</v>
      </c>
      <c r="J2014" t="s">
        <v>8086</v>
      </c>
      <c r="K2014">
        <v>1440</v>
      </c>
      <c r="L2014">
        <v>1307</v>
      </c>
      <c r="M2014">
        <v>-9.24</v>
      </c>
      <c r="N2014">
        <v>2.99</v>
      </c>
      <c r="O2014">
        <v>0.32</v>
      </c>
      <c r="P2014">
        <v>11.38</v>
      </c>
      <c r="Q2014">
        <v>-11.87</v>
      </c>
      <c r="R2014">
        <v>-12.68</v>
      </c>
      <c r="S2014">
        <v>-11.71</v>
      </c>
      <c r="T2014">
        <v>1.0900000000000001</v>
      </c>
      <c r="U2014">
        <v>2.1800000000000002</v>
      </c>
      <c r="V2014">
        <v>2.1</v>
      </c>
      <c r="W2014">
        <v>2.79</v>
      </c>
      <c r="X2014">
        <v>2.29</v>
      </c>
      <c r="Y2014">
        <v>2.71</v>
      </c>
      <c r="Z2014">
        <v>2.74</v>
      </c>
      <c r="AA2014">
        <v>0.15</v>
      </c>
      <c r="AB2014">
        <v>5.42</v>
      </c>
      <c r="AC2014">
        <v>4.25</v>
      </c>
      <c r="AD2014">
        <v>5.54</v>
      </c>
      <c r="AE2014">
        <v>4.32</v>
      </c>
      <c r="AF2014">
        <v>3.7366666666666668</v>
      </c>
      <c r="AG2014" t="str">
        <f>HYPERLINK("https://finance.naver.com/item/fchart.naver?code=065500", "오리엔트정공 차트보기")</f>
        <v>오리엔트정공 차트보기</v>
      </c>
    </row>
    <row r="2015" spans="1:33" x14ac:dyDescent="0.3">
      <c r="A2015" t="s">
        <v>8087</v>
      </c>
      <c r="B2015" t="s">
        <v>34</v>
      </c>
      <c r="C2015" t="s">
        <v>8088</v>
      </c>
      <c r="D2015">
        <v>538294.48</v>
      </c>
      <c r="E2015" t="s">
        <v>8089</v>
      </c>
      <c r="F2015">
        <v>23.85</v>
      </c>
      <c r="G2015">
        <v>2.2599999904632568</v>
      </c>
      <c r="H2015">
        <v>312</v>
      </c>
      <c r="I2015">
        <v>2.690000057220459</v>
      </c>
      <c r="J2015" t="s">
        <v>8090</v>
      </c>
      <c r="K2015">
        <v>6880</v>
      </c>
      <c r="L2015">
        <v>7440</v>
      </c>
      <c r="M2015">
        <v>8.14</v>
      </c>
      <c r="N2015">
        <v>10.88</v>
      </c>
      <c r="O2015">
        <v>-9.49</v>
      </c>
      <c r="P2015">
        <v>-2</v>
      </c>
      <c r="Q2015">
        <v>-17.28</v>
      </c>
      <c r="R2015">
        <v>-12.03</v>
      </c>
      <c r="S2015">
        <v>32.28</v>
      </c>
      <c r="T2015">
        <v>3.7</v>
      </c>
      <c r="U2015">
        <v>1.9</v>
      </c>
      <c r="V2015">
        <v>2.58</v>
      </c>
      <c r="W2015">
        <v>4.6100000000000003</v>
      </c>
      <c r="X2015">
        <v>3.67</v>
      </c>
      <c r="Y2015">
        <v>4.82</v>
      </c>
      <c r="Z2015">
        <v>2.94</v>
      </c>
      <c r="AA2015">
        <v>4.99</v>
      </c>
      <c r="AB2015">
        <v>0.78</v>
      </c>
      <c r="AC2015">
        <v>3.75</v>
      </c>
      <c r="AD2015">
        <v>3.28</v>
      </c>
      <c r="AE2015">
        <v>6.7</v>
      </c>
      <c r="AF2015">
        <v>3.74</v>
      </c>
      <c r="AG2015" t="str">
        <f>HYPERLINK("https://finance.naver.com/item/fchart.naver?code=075580", "세진중공업 차트보기")</f>
        <v>세진중공업 차트보기</v>
      </c>
    </row>
    <row r="2016" spans="1:33" x14ac:dyDescent="0.3">
      <c r="A2016" t="s">
        <v>8091</v>
      </c>
      <c r="B2016" t="s">
        <v>55</v>
      </c>
      <c r="C2016" t="s">
        <v>8092</v>
      </c>
      <c r="D2016">
        <v>292132.38</v>
      </c>
      <c r="E2016" t="s">
        <v>8093</v>
      </c>
      <c r="F2016">
        <v>0</v>
      </c>
      <c r="G2016">
        <v>6.130000114440918</v>
      </c>
      <c r="H2016">
        <v>0</v>
      </c>
      <c r="I2016">
        <v>0</v>
      </c>
      <c r="J2016" t="s">
        <v>8094</v>
      </c>
      <c r="K2016">
        <v>5700</v>
      </c>
      <c r="L2016">
        <v>7210</v>
      </c>
      <c r="M2016">
        <v>26.49</v>
      </c>
      <c r="N2016">
        <v>45.95</v>
      </c>
      <c r="O2016">
        <v>15.37</v>
      </c>
      <c r="P2016">
        <v>0</v>
      </c>
      <c r="Q2016">
        <v>-3.72</v>
      </c>
      <c r="R2016">
        <v>-11.54</v>
      </c>
      <c r="S2016">
        <v>-15.33</v>
      </c>
      <c r="T2016">
        <v>7.21</v>
      </c>
      <c r="U2016">
        <v>7.63</v>
      </c>
      <c r="V2016">
        <v>1.26</v>
      </c>
      <c r="W2016">
        <v>2.84</v>
      </c>
      <c r="X2016">
        <v>2.5099999999999998</v>
      </c>
      <c r="Y2016">
        <v>1.88</v>
      </c>
      <c r="Z2016">
        <v>6.37</v>
      </c>
      <c r="AA2016">
        <v>2.0099999999999998</v>
      </c>
      <c r="AB2016">
        <v>0</v>
      </c>
      <c r="AC2016">
        <v>1.31</v>
      </c>
      <c r="AD2016">
        <v>4.5999999999999996</v>
      </c>
      <c r="AE2016">
        <v>8.15</v>
      </c>
      <c r="AF2016">
        <v>3.74</v>
      </c>
      <c r="AG2016" t="str">
        <f>HYPERLINK("https://finance.naver.com/item/fchart.naver?code=222110", "팬젠 차트보기")</f>
        <v>팬젠 차트보기</v>
      </c>
    </row>
    <row r="2017" spans="1:33" x14ac:dyDescent="0.3">
      <c r="A2017" t="s">
        <v>8095</v>
      </c>
      <c r="B2017" t="s">
        <v>55</v>
      </c>
      <c r="C2017" t="s">
        <v>8096</v>
      </c>
      <c r="D2017">
        <v>252271.9</v>
      </c>
      <c r="E2017" t="s">
        <v>8097</v>
      </c>
      <c r="F2017">
        <v>3.96</v>
      </c>
      <c r="G2017">
        <v>0.56000000238418579</v>
      </c>
      <c r="H2017">
        <v>743</v>
      </c>
      <c r="I2017">
        <v>2.380000114440918</v>
      </c>
      <c r="J2017" t="s">
        <v>8098</v>
      </c>
      <c r="K2017">
        <v>3445</v>
      </c>
      <c r="L2017">
        <v>2940</v>
      </c>
      <c r="M2017">
        <v>-14.66</v>
      </c>
      <c r="N2017">
        <v>-0.17</v>
      </c>
      <c r="O2017">
        <v>-19.350000000000001</v>
      </c>
      <c r="P2017">
        <v>18.850000000000001</v>
      </c>
      <c r="Q2017">
        <v>-14.31</v>
      </c>
      <c r="R2017">
        <v>-11.3</v>
      </c>
      <c r="S2017">
        <v>6.49</v>
      </c>
      <c r="T2017">
        <v>1.21</v>
      </c>
      <c r="U2017">
        <v>2.95</v>
      </c>
      <c r="V2017">
        <v>4.4800000000000004</v>
      </c>
      <c r="W2017">
        <v>3</v>
      </c>
      <c r="X2017">
        <v>2.33</v>
      </c>
      <c r="Y2017">
        <v>3.39</v>
      </c>
      <c r="Z2017">
        <v>0.14000000000000001</v>
      </c>
      <c r="AA2017">
        <v>6.56</v>
      </c>
      <c r="AB2017">
        <v>4.21</v>
      </c>
      <c r="AC2017">
        <v>4.7699999999999996</v>
      </c>
      <c r="AD2017">
        <v>4.8499999999999996</v>
      </c>
      <c r="AE2017">
        <v>1.91</v>
      </c>
      <c r="AF2017">
        <v>3.74</v>
      </c>
      <c r="AG2017" t="str">
        <f>HYPERLINK("https://finance.naver.com/item/fchart.naver?code=124560", "태웅로직스 차트보기")</f>
        <v>태웅로직스 차트보기</v>
      </c>
    </row>
    <row r="2018" spans="1:33" x14ac:dyDescent="0.3">
      <c r="A2018" t="s">
        <v>8099</v>
      </c>
      <c r="B2018" t="s">
        <v>34</v>
      </c>
      <c r="C2018" t="s">
        <v>8100</v>
      </c>
      <c r="D2018">
        <v>507079.43</v>
      </c>
      <c r="E2018" t="s">
        <v>8101</v>
      </c>
      <c r="F2018">
        <v>48.66</v>
      </c>
      <c r="G2018">
        <v>2.2999999523162842</v>
      </c>
      <c r="H2018">
        <v>201</v>
      </c>
      <c r="I2018">
        <v>0</v>
      </c>
      <c r="J2018" t="s">
        <v>8102</v>
      </c>
      <c r="K2018">
        <v>8730</v>
      </c>
      <c r="L2018">
        <v>9780</v>
      </c>
      <c r="M2018">
        <v>12.03</v>
      </c>
      <c r="N2018">
        <v>-2.4</v>
      </c>
      <c r="O2018">
        <v>-23.92</v>
      </c>
      <c r="P2018">
        <v>38.799999999999997</v>
      </c>
      <c r="Q2018">
        <v>-25.24</v>
      </c>
      <c r="R2018">
        <v>-7.89</v>
      </c>
      <c r="S2018">
        <v>37.65</v>
      </c>
      <c r="T2018">
        <v>3.39</v>
      </c>
      <c r="U2018">
        <v>4.72</v>
      </c>
      <c r="V2018">
        <v>7.41</v>
      </c>
      <c r="W2018">
        <v>5</v>
      </c>
      <c r="X2018">
        <v>6.39</v>
      </c>
      <c r="Y2018">
        <v>7.32</v>
      </c>
      <c r="Z2018">
        <v>0.71</v>
      </c>
      <c r="AA2018">
        <v>5.07</v>
      </c>
      <c r="AB2018">
        <v>5.24</v>
      </c>
      <c r="AC2018">
        <v>5.05</v>
      </c>
      <c r="AD2018">
        <v>1.23</v>
      </c>
      <c r="AE2018">
        <v>5.14</v>
      </c>
      <c r="AF2018">
        <v>3.74</v>
      </c>
      <c r="AG2018" t="str">
        <f>HYPERLINK("https://finance.naver.com/item/fchart.naver?code=465770", "STX그린로지스 차트보기")</f>
        <v>STX그린로지스 차트보기</v>
      </c>
    </row>
    <row r="2019" spans="1:33" x14ac:dyDescent="0.3">
      <c r="A2019" t="s">
        <v>8103</v>
      </c>
      <c r="B2019" t="s">
        <v>34</v>
      </c>
      <c r="C2019" t="s">
        <v>8104</v>
      </c>
      <c r="D2019">
        <v>409369.86</v>
      </c>
      <c r="E2019" t="s">
        <v>8105</v>
      </c>
      <c r="J2019" t="s">
        <v>8106</v>
      </c>
      <c r="K2019">
        <v>8070</v>
      </c>
      <c r="L2019">
        <v>18200</v>
      </c>
      <c r="M2019">
        <v>125.53</v>
      </c>
      <c r="N2019">
        <v>5.81</v>
      </c>
      <c r="O2019">
        <v>25.98</v>
      </c>
      <c r="P2019">
        <v>9.09</v>
      </c>
      <c r="Q2019">
        <v>3.07</v>
      </c>
      <c r="R2019">
        <v>56.63</v>
      </c>
      <c r="S2019">
        <v>1.76</v>
      </c>
      <c r="T2019">
        <v>3.39</v>
      </c>
      <c r="U2019">
        <v>6.22</v>
      </c>
      <c r="V2019">
        <v>3.33</v>
      </c>
      <c r="W2019">
        <v>5.51</v>
      </c>
      <c r="X2019">
        <v>4.4400000000000004</v>
      </c>
      <c r="Y2019">
        <v>3.41</v>
      </c>
      <c r="Z2019">
        <v>1.71</v>
      </c>
      <c r="AA2019">
        <v>4.18</v>
      </c>
      <c r="AB2019">
        <v>2.73</v>
      </c>
      <c r="AC2019">
        <v>0.56000000000000005</v>
      </c>
      <c r="AD2019">
        <v>12.75</v>
      </c>
      <c r="AE2019">
        <v>0.52</v>
      </c>
      <c r="AF2019">
        <v>3.7416666666666671</v>
      </c>
      <c r="AG2019" t="str">
        <f>HYPERLINK("https://finance.naver.com/item/fchart.naver?code=950210", "프레스티지바이오파마 차트보기")</f>
        <v>프레스티지바이오파마 차트보기</v>
      </c>
    </row>
    <row r="2020" spans="1:33" x14ac:dyDescent="0.3">
      <c r="A2020" t="s">
        <v>8107</v>
      </c>
      <c r="B2020" t="s">
        <v>55</v>
      </c>
      <c r="C2020" t="s">
        <v>8108</v>
      </c>
      <c r="D2020">
        <v>8692.6200000000008</v>
      </c>
      <c r="E2020" t="s">
        <v>8109</v>
      </c>
      <c r="F2020">
        <v>0</v>
      </c>
      <c r="G2020">
        <v>0.64999997615814209</v>
      </c>
      <c r="H2020">
        <v>0</v>
      </c>
      <c r="I2020">
        <v>0</v>
      </c>
      <c r="J2020" t="s">
        <v>8110</v>
      </c>
      <c r="K2020">
        <v>3320</v>
      </c>
      <c r="L2020">
        <v>2230</v>
      </c>
      <c r="M2020">
        <v>-32.83</v>
      </c>
      <c r="N2020">
        <v>0.45</v>
      </c>
      <c r="O2020">
        <v>-3.28</v>
      </c>
      <c r="P2020">
        <v>-22.33</v>
      </c>
      <c r="Q2020">
        <v>5.3</v>
      </c>
      <c r="R2020">
        <v>-5.35</v>
      </c>
      <c r="S2020">
        <v>-8.7899999999999991</v>
      </c>
      <c r="T2020">
        <v>0.64</v>
      </c>
      <c r="U2020">
        <v>1.03</v>
      </c>
      <c r="V2020">
        <v>3.18</v>
      </c>
      <c r="W2020">
        <v>8.39</v>
      </c>
      <c r="X2020">
        <v>1.1399999999999999</v>
      </c>
      <c r="Y2020">
        <v>1.41</v>
      </c>
      <c r="Z2020">
        <v>0.7</v>
      </c>
      <c r="AA2020">
        <v>3.18</v>
      </c>
      <c r="AB2020">
        <v>7.02</v>
      </c>
      <c r="AC2020">
        <v>0.63</v>
      </c>
      <c r="AD2020">
        <v>4.6900000000000004</v>
      </c>
      <c r="AE2020">
        <v>6.23</v>
      </c>
      <c r="AF2020">
        <v>3.7416666666666671</v>
      </c>
      <c r="AG2020" t="str">
        <f>HYPERLINK("https://finance.naver.com/item/fchart.naver?code=026910", "광진실업 차트보기")</f>
        <v>광진실업 차트보기</v>
      </c>
    </row>
    <row r="2021" spans="1:33" x14ac:dyDescent="0.3">
      <c r="A2021" t="s">
        <v>8111</v>
      </c>
      <c r="B2021" t="s">
        <v>55</v>
      </c>
      <c r="C2021" t="s">
        <v>8112</v>
      </c>
      <c r="D2021">
        <v>51740.9</v>
      </c>
      <c r="E2021" t="s">
        <v>8113</v>
      </c>
      <c r="F2021">
        <v>18.670000000000002</v>
      </c>
      <c r="G2021">
        <v>1.9600000381469731</v>
      </c>
      <c r="H2021">
        <v>420</v>
      </c>
      <c r="I2021">
        <v>0</v>
      </c>
      <c r="J2021" t="s">
        <v>8114</v>
      </c>
      <c r="K2021">
        <v>16310</v>
      </c>
      <c r="L2021">
        <v>7840</v>
      </c>
      <c r="M2021">
        <v>-51.93</v>
      </c>
      <c r="N2021">
        <v>-7.33</v>
      </c>
      <c r="O2021">
        <v>-6.39</v>
      </c>
      <c r="P2021">
        <v>-5.37</v>
      </c>
      <c r="Q2021">
        <v>-8.27</v>
      </c>
      <c r="R2021">
        <v>-38.03</v>
      </c>
      <c r="S2021">
        <v>16.37</v>
      </c>
      <c r="T2021">
        <v>3.6</v>
      </c>
      <c r="U2021">
        <v>1.97</v>
      </c>
      <c r="V2021">
        <v>2.85</v>
      </c>
      <c r="W2021">
        <v>4.71</v>
      </c>
      <c r="X2021">
        <v>3.53</v>
      </c>
      <c r="Y2021">
        <v>5.84</v>
      </c>
      <c r="Z2021">
        <v>2.04</v>
      </c>
      <c r="AA2021">
        <v>3.24</v>
      </c>
      <c r="AB2021">
        <v>1.88</v>
      </c>
      <c r="AC2021">
        <v>1.76</v>
      </c>
      <c r="AD2021">
        <v>10.77</v>
      </c>
      <c r="AE2021">
        <v>2.8</v>
      </c>
      <c r="AF2021">
        <v>3.7483333333333331</v>
      </c>
      <c r="AG2021" t="str">
        <f>HYPERLINK("https://finance.naver.com/item/fchart.naver?code=089890", "코세스 차트보기")</f>
        <v>코세스 차트보기</v>
      </c>
    </row>
    <row r="2022" spans="1:33" x14ac:dyDescent="0.3">
      <c r="A2022" t="s">
        <v>8115</v>
      </c>
      <c r="B2022" t="s">
        <v>55</v>
      </c>
      <c r="C2022" t="s">
        <v>8116</v>
      </c>
      <c r="D2022">
        <v>5271949.62</v>
      </c>
      <c r="E2022" t="s">
        <v>8117</v>
      </c>
      <c r="F2022">
        <v>0</v>
      </c>
      <c r="G2022">
        <v>0.64999997615814209</v>
      </c>
      <c r="H2022">
        <v>0</v>
      </c>
      <c r="I2022">
        <v>0</v>
      </c>
      <c r="J2022" t="s">
        <v>8118</v>
      </c>
      <c r="K2022">
        <v>488</v>
      </c>
      <c r="L2022">
        <v>229</v>
      </c>
      <c r="M2022">
        <v>-53.07</v>
      </c>
      <c r="N2022">
        <v>3.15</v>
      </c>
      <c r="O2022">
        <v>-44.09</v>
      </c>
      <c r="P2022">
        <v>-6.61</v>
      </c>
      <c r="Q2022">
        <v>-23.62</v>
      </c>
      <c r="R2022">
        <v>-3.89</v>
      </c>
      <c r="S2022">
        <v>6.35</v>
      </c>
      <c r="T2022">
        <v>6.65</v>
      </c>
      <c r="U2022">
        <v>7.23</v>
      </c>
      <c r="V2022">
        <v>1.99</v>
      </c>
      <c r="W2022">
        <v>2.58</v>
      </c>
      <c r="X2022">
        <v>2.48</v>
      </c>
      <c r="Y2022">
        <v>3.37</v>
      </c>
      <c r="Z2022">
        <v>0.47</v>
      </c>
      <c r="AA2022">
        <v>6.1</v>
      </c>
      <c r="AB2022">
        <v>3.32</v>
      </c>
      <c r="AC2022">
        <v>9.16</v>
      </c>
      <c r="AD2022">
        <v>1.57</v>
      </c>
      <c r="AE2022">
        <v>1.88</v>
      </c>
      <c r="AF2022">
        <v>3.75</v>
      </c>
      <c r="AG2022" t="str">
        <f>HYPERLINK("https://finance.naver.com/item/fchart.naver?code=065170", "비엘팜텍 차트보기")</f>
        <v>비엘팜텍 차트보기</v>
      </c>
    </row>
    <row r="2023" spans="1:33" x14ac:dyDescent="0.3">
      <c r="A2023" t="s">
        <v>8119</v>
      </c>
      <c r="B2023" t="s">
        <v>34</v>
      </c>
      <c r="C2023" t="s">
        <v>8120</v>
      </c>
      <c r="D2023">
        <v>74613.240000000005</v>
      </c>
      <c r="E2023" t="s">
        <v>8121</v>
      </c>
      <c r="F2023">
        <v>26.19</v>
      </c>
      <c r="G2023">
        <v>0.34000000357627869</v>
      </c>
      <c r="H2023">
        <v>42</v>
      </c>
      <c r="I2023">
        <v>4.5500001907348633</v>
      </c>
      <c r="J2023" t="s">
        <v>8122</v>
      </c>
      <c r="K2023">
        <v>1392</v>
      </c>
      <c r="L2023">
        <v>1100</v>
      </c>
      <c r="M2023">
        <v>-20.98</v>
      </c>
      <c r="N2023">
        <v>3.29</v>
      </c>
      <c r="O2023">
        <v>1.02</v>
      </c>
      <c r="P2023">
        <v>2.38</v>
      </c>
      <c r="Q2023">
        <v>-5.66</v>
      </c>
      <c r="R2023">
        <v>-1.76</v>
      </c>
      <c r="S2023">
        <v>-6.1</v>
      </c>
      <c r="T2023">
        <v>1.1399999999999999</v>
      </c>
      <c r="U2023">
        <v>0.37</v>
      </c>
      <c r="V2023">
        <v>0.47</v>
      </c>
      <c r="W2023">
        <v>2.2000000000000002</v>
      </c>
      <c r="X2023">
        <v>0.5</v>
      </c>
      <c r="Y2023">
        <v>1.07</v>
      </c>
      <c r="Z2023">
        <v>2.89</v>
      </c>
      <c r="AA2023">
        <v>2.76</v>
      </c>
      <c r="AB2023">
        <v>5.0599999999999996</v>
      </c>
      <c r="AC2023">
        <v>2.57</v>
      </c>
      <c r="AD2023">
        <v>3.52</v>
      </c>
      <c r="AE2023">
        <v>5.7</v>
      </c>
      <c r="AF2023">
        <v>3.75</v>
      </c>
      <c r="AG2023" t="str">
        <f>HYPERLINK("https://finance.naver.com/item/fchart.naver?code=002450", "삼익악기 차트보기")</f>
        <v>삼익악기 차트보기</v>
      </c>
    </row>
    <row r="2024" spans="1:33" x14ac:dyDescent="0.3">
      <c r="A2024" t="s">
        <v>8123</v>
      </c>
      <c r="B2024" t="s">
        <v>34</v>
      </c>
      <c r="C2024" t="s">
        <v>8124</v>
      </c>
      <c r="D2024">
        <v>131717.76000000001</v>
      </c>
      <c r="E2024" t="s">
        <v>8125</v>
      </c>
      <c r="F2024">
        <v>27.76</v>
      </c>
      <c r="G2024">
        <v>4.380000114440918</v>
      </c>
      <c r="H2024">
        <v>5036</v>
      </c>
      <c r="I2024">
        <v>0.36000001430511469</v>
      </c>
      <c r="J2024" t="s">
        <v>8126</v>
      </c>
      <c r="K2024">
        <v>161400</v>
      </c>
      <c r="L2024">
        <v>139800</v>
      </c>
      <c r="M2024">
        <v>-13.38</v>
      </c>
      <c r="N2024">
        <v>-8.75</v>
      </c>
      <c r="O2024">
        <v>3.14</v>
      </c>
      <c r="P2024">
        <v>21.26</v>
      </c>
      <c r="Q2024">
        <v>-21.23</v>
      </c>
      <c r="R2024">
        <v>-18.09</v>
      </c>
      <c r="S2024">
        <v>15.35</v>
      </c>
      <c r="T2024">
        <v>3.79</v>
      </c>
      <c r="U2024">
        <v>3.57</v>
      </c>
      <c r="V2024">
        <v>3.59</v>
      </c>
      <c r="W2024">
        <v>5.04</v>
      </c>
      <c r="X2024">
        <v>3.64</v>
      </c>
      <c r="Y2024">
        <v>3.65</v>
      </c>
      <c r="Z2024">
        <v>2.31</v>
      </c>
      <c r="AA2024">
        <v>0.88</v>
      </c>
      <c r="AB2024">
        <v>5.92</v>
      </c>
      <c r="AC2024">
        <v>4.21</v>
      </c>
      <c r="AD2024">
        <v>4.97</v>
      </c>
      <c r="AE2024">
        <v>4.21</v>
      </c>
      <c r="AF2024">
        <v>3.75</v>
      </c>
      <c r="AG2024" t="str">
        <f>HYPERLINK("https://finance.naver.com/item/fchart.naver?code=192820", "코스맥스 차트보기")</f>
        <v>코스맥스 차트보기</v>
      </c>
    </row>
    <row r="2025" spans="1:33" x14ac:dyDescent="0.3">
      <c r="A2025" t="s">
        <v>8127</v>
      </c>
      <c r="B2025" t="s">
        <v>55</v>
      </c>
      <c r="C2025" t="s">
        <v>8128</v>
      </c>
      <c r="D2025">
        <v>57717.52</v>
      </c>
      <c r="E2025" t="s">
        <v>8129</v>
      </c>
      <c r="F2025">
        <v>4.9800000000000004</v>
      </c>
      <c r="G2025">
        <v>0.94999998807907104</v>
      </c>
      <c r="H2025">
        <v>171</v>
      </c>
      <c r="I2025">
        <v>3.529999971389771</v>
      </c>
      <c r="J2025" t="s">
        <v>8130</v>
      </c>
      <c r="K2025">
        <v>1143</v>
      </c>
      <c r="L2025">
        <v>851</v>
      </c>
      <c r="M2025">
        <v>-25.55</v>
      </c>
      <c r="N2025">
        <v>-2.1800000000000002</v>
      </c>
      <c r="O2025">
        <v>-3.96</v>
      </c>
      <c r="P2025">
        <v>2.34</v>
      </c>
      <c r="Q2025">
        <v>-8.3699999999999992</v>
      </c>
      <c r="R2025">
        <v>-3.48</v>
      </c>
      <c r="S2025">
        <v>-7.25</v>
      </c>
      <c r="T2025">
        <v>1.68</v>
      </c>
      <c r="U2025">
        <v>0.68</v>
      </c>
      <c r="V2025">
        <v>1.1299999999999999</v>
      </c>
      <c r="W2025">
        <v>2.5</v>
      </c>
      <c r="X2025">
        <v>0.78</v>
      </c>
      <c r="Y2025">
        <v>1.31</v>
      </c>
      <c r="Z2025">
        <v>1.3</v>
      </c>
      <c r="AA2025">
        <v>5.82</v>
      </c>
      <c r="AB2025">
        <v>2.0699999999999998</v>
      </c>
      <c r="AC2025">
        <v>3.35</v>
      </c>
      <c r="AD2025">
        <v>4.46</v>
      </c>
      <c r="AE2025">
        <v>5.53</v>
      </c>
      <c r="AF2025">
        <v>3.7549999999999999</v>
      </c>
      <c r="AG2025" t="str">
        <f>HYPERLINK("https://finance.naver.com/item/fchart.naver?code=020180", "대신정보통신 차트보기")</f>
        <v>대신정보통신 차트보기</v>
      </c>
    </row>
    <row r="2026" spans="1:33" x14ac:dyDescent="0.3">
      <c r="A2026" t="s">
        <v>8131</v>
      </c>
      <c r="B2026" t="s">
        <v>55</v>
      </c>
      <c r="C2026" t="s">
        <v>8132</v>
      </c>
      <c r="D2026">
        <v>7256.67</v>
      </c>
      <c r="E2026" t="s">
        <v>8133</v>
      </c>
      <c r="F2026">
        <v>5.28</v>
      </c>
      <c r="G2026">
        <v>0.68999999761581421</v>
      </c>
      <c r="H2026">
        <v>1583</v>
      </c>
      <c r="I2026">
        <v>3.589999914169312</v>
      </c>
      <c r="J2026" t="s">
        <v>8134</v>
      </c>
      <c r="K2026">
        <v>12010</v>
      </c>
      <c r="L2026">
        <v>8360</v>
      </c>
      <c r="M2026">
        <v>-30.39</v>
      </c>
      <c r="N2026">
        <v>3.85</v>
      </c>
      <c r="O2026">
        <v>-7.27</v>
      </c>
      <c r="P2026">
        <v>2.4300000000000002</v>
      </c>
      <c r="Q2026">
        <v>-6.98</v>
      </c>
      <c r="R2026">
        <v>-3.52</v>
      </c>
      <c r="S2026">
        <v>-10.6</v>
      </c>
      <c r="T2026">
        <v>1.44</v>
      </c>
      <c r="U2026">
        <v>0.98</v>
      </c>
      <c r="V2026">
        <v>1.8</v>
      </c>
      <c r="W2026">
        <v>3.29</v>
      </c>
      <c r="X2026">
        <v>2.04</v>
      </c>
      <c r="Y2026">
        <v>1.46</v>
      </c>
      <c r="Z2026">
        <v>2.67</v>
      </c>
      <c r="AA2026">
        <v>7.42</v>
      </c>
      <c r="AB2026">
        <v>1.35</v>
      </c>
      <c r="AC2026">
        <v>2.12</v>
      </c>
      <c r="AD2026">
        <v>1.73</v>
      </c>
      <c r="AE2026">
        <v>7.26</v>
      </c>
      <c r="AF2026">
        <v>3.7583333333333329</v>
      </c>
      <c r="AG2026" t="str">
        <f>HYPERLINK("https://finance.naver.com/item/fchart.naver?code=170790", "파이오링크 차트보기")</f>
        <v>파이오링크 차트보기</v>
      </c>
    </row>
    <row r="2027" spans="1:33" x14ac:dyDescent="0.3">
      <c r="A2027" t="s">
        <v>8135</v>
      </c>
      <c r="B2027" t="s">
        <v>55</v>
      </c>
      <c r="C2027" t="s">
        <v>8136</v>
      </c>
      <c r="D2027">
        <v>373617</v>
      </c>
      <c r="E2027" t="s">
        <v>8137</v>
      </c>
      <c r="F2027">
        <v>366.32</v>
      </c>
      <c r="G2027">
        <v>25.079999923706051</v>
      </c>
      <c r="H2027">
        <v>38</v>
      </c>
      <c r="I2027">
        <v>0</v>
      </c>
      <c r="J2027" t="s">
        <v>8138</v>
      </c>
      <c r="K2027">
        <v>8790</v>
      </c>
      <c r="L2027">
        <v>13920</v>
      </c>
      <c r="M2027">
        <v>58.36</v>
      </c>
      <c r="N2027">
        <v>16.39</v>
      </c>
      <c r="O2027">
        <v>-21.11</v>
      </c>
      <c r="P2027">
        <v>3.45</v>
      </c>
      <c r="Q2027">
        <v>26.88</v>
      </c>
      <c r="R2027">
        <v>10.8</v>
      </c>
      <c r="S2027">
        <v>20.350000000000001</v>
      </c>
      <c r="T2027">
        <v>6.02</v>
      </c>
      <c r="U2027">
        <v>2.85</v>
      </c>
      <c r="V2027">
        <v>3.82</v>
      </c>
      <c r="W2027">
        <v>8.57</v>
      </c>
      <c r="X2027">
        <v>3.59</v>
      </c>
      <c r="Y2027">
        <v>3.78</v>
      </c>
      <c r="Z2027">
        <v>2.72</v>
      </c>
      <c r="AA2027">
        <v>7.41</v>
      </c>
      <c r="AB2027">
        <v>0.9</v>
      </c>
      <c r="AC2027">
        <v>3.14</v>
      </c>
      <c r="AD2027">
        <v>3.01</v>
      </c>
      <c r="AE2027">
        <v>5.38</v>
      </c>
      <c r="AF2027">
        <v>3.76</v>
      </c>
      <c r="AG2027" t="str">
        <f>HYPERLINK("https://finance.naver.com/item/fchart.naver?code=305090", "마이크로디지탈 차트보기")</f>
        <v>마이크로디지탈 차트보기</v>
      </c>
    </row>
    <row r="2028" spans="1:33" x14ac:dyDescent="0.3">
      <c r="A2028" t="s">
        <v>8139</v>
      </c>
      <c r="B2028" t="s">
        <v>55</v>
      </c>
      <c r="C2028" t="s">
        <v>8140</v>
      </c>
      <c r="D2028">
        <v>77825.710000000006</v>
      </c>
      <c r="E2028" t="s">
        <v>8141</v>
      </c>
      <c r="F2028">
        <v>22.43</v>
      </c>
      <c r="G2028">
        <v>3.1400001049041748</v>
      </c>
      <c r="H2028">
        <v>1810</v>
      </c>
      <c r="I2028">
        <v>0.86000001430511475</v>
      </c>
      <c r="J2028" t="s">
        <v>8142</v>
      </c>
      <c r="K2028">
        <v>43000</v>
      </c>
      <c r="L2028">
        <v>40600</v>
      </c>
      <c r="M2028">
        <v>-5.58</v>
      </c>
      <c r="N2028">
        <v>8.99</v>
      </c>
      <c r="O2028">
        <v>22.22</v>
      </c>
      <c r="P2028">
        <v>1.1000000000000001</v>
      </c>
      <c r="Q2028">
        <v>-2.35</v>
      </c>
      <c r="R2028">
        <v>-21.78</v>
      </c>
      <c r="S2028">
        <v>11.5</v>
      </c>
      <c r="T2028">
        <v>3.01</v>
      </c>
      <c r="U2028">
        <v>3.18</v>
      </c>
      <c r="V2028">
        <v>2.36</v>
      </c>
      <c r="W2028">
        <v>4.7</v>
      </c>
      <c r="X2028">
        <v>2.82</v>
      </c>
      <c r="Y2028">
        <v>2.96</v>
      </c>
      <c r="Z2028">
        <v>2.99</v>
      </c>
      <c r="AA2028">
        <v>6.99</v>
      </c>
      <c r="AB2028">
        <v>0.47</v>
      </c>
      <c r="AC2028">
        <v>0.5</v>
      </c>
      <c r="AD2028">
        <v>7.72</v>
      </c>
      <c r="AE2028">
        <v>3.89</v>
      </c>
      <c r="AF2028">
        <v>3.76</v>
      </c>
      <c r="AG2028" t="str">
        <f>HYPERLINK("https://finance.naver.com/item/fchart.naver?code=214430", "아이쓰리시스템 차트보기")</f>
        <v>아이쓰리시스템 차트보기</v>
      </c>
    </row>
    <row r="2029" spans="1:33" x14ac:dyDescent="0.3">
      <c r="A2029" t="s">
        <v>8143</v>
      </c>
      <c r="B2029" t="s">
        <v>55</v>
      </c>
      <c r="C2029" t="s">
        <v>8144</v>
      </c>
      <c r="D2029">
        <v>532486</v>
      </c>
      <c r="E2029" t="s">
        <v>8145</v>
      </c>
      <c r="F2029">
        <v>12.38</v>
      </c>
      <c r="G2029">
        <v>0.73000001907348633</v>
      </c>
      <c r="H2029">
        <v>48</v>
      </c>
      <c r="I2029">
        <v>0</v>
      </c>
      <c r="J2029" t="s">
        <v>8146</v>
      </c>
      <c r="K2029">
        <v>972</v>
      </c>
      <c r="L2029">
        <v>594</v>
      </c>
      <c r="M2029">
        <v>-38.89</v>
      </c>
      <c r="N2029">
        <v>0.68</v>
      </c>
      <c r="O2029">
        <v>-11.14</v>
      </c>
      <c r="P2029">
        <v>-1.88</v>
      </c>
      <c r="Q2029">
        <v>-11.76</v>
      </c>
      <c r="R2029">
        <v>-14.43</v>
      </c>
      <c r="S2029">
        <v>8.82</v>
      </c>
      <c r="T2029">
        <v>2.57</v>
      </c>
      <c r="U2029">
        <v>1.25</v>
      </c>
      <c r="V2029">
        <v>1.71</v>
      </c>
      <c r="W2029">
        <v>3.15</v>
      </c>
      <c r="X2029">
        <v>3.4</v>
      </c>
      <c r="Y2029">
        <v>2.04</v>
      </c>
      <c r="Z2029">
        <v>0.26</v>
      </c>
      <c r="AA2029">
        <v>8.91</v>
      </c>
      <c r="AB2029">
        <v>1.1000000000000001</v>
      </c>
      <c r="AC2029">
        <v>3.73</v>
      </c>
      <c r="AD2029">
        <v>4.24</v>
      </c>
      <c r="AE2029">
        <v>4.32</v>
      </c>
      <c r="AF2029">
        <v>3.76</v>
      </c>
      <c r="AG2029" t="str">
        <f>HYPERLINK("https://finance.naver.com/item/fchart.naver?code=043910", "자연과환경 차트보기")</f>
        <v>자연과환경 차트보기</v>
      </c>
    </row>
    <row r="2030" spans="1:33" x14ac:dyDescent="0.3">
      <c r="A2030" t="s">
        <v>8147</v>
      </c>
      <c r="B2030" t="s">
        <v>55</v>
      </c>
      <c r="C2030" t="s">
        <v>8148</v>
      </c>
      <c r="D2030">
        <v>60542.67</v>
      </c>
      <c r="E2030" t="s">
        <v>8149</v>
      </c>
      <c r="F2030">
        <v>0</v>
      </c>
      <c r="G2030">
        <v>0.41999998688697809</v>
      </c>
      <c r="H2030">
        <v>0</v>
      </c>
      <c r="I2030">
        <v>0</v>
      </c>
      <c r="J2030" t="s">
        <v>8150</v>
      </c>
      <c r="K2030">
        <v>9880</v>
      </c>
      <c r="L2030">
        <v>7970</v>
      </c>
      <c r="M2030">
        <v>-19.329999999999998</v>
      </c>
      <c r="N2030">
        <v>6.69</v>
      </c>
      <c r="O2030">
        <v>-3.77</v>
      </c>
      <c r="P2030">
        <v>-7.77</v>
      </c>
      <c r="Q2030">
        <v>-1.1100000000000001</v>
      </c>
      <c r="R2030">
        <v>-11.89</v>
      </c>
      <c r="S2030">
        <v>-6.77</v>
      </c>
      <c r="T2030">
        <v>2.1800000000000002</v>
      </c>
      <c r="U2030">
        <v>1.49</v>
      </c>
      <c r="V2030">
        <v>1.95</v>
      </c>
      <c r="W2030">
        <v>2.58</v>
      </c>
      <c r="X2030">
        <v>1.72</v>
      </c>
      <c r="Y2030">
        <v>1.2</v>
      </c>
      <c r="Z2030">
        <v>3.07</v>
      </c>
      <c r="AA2030">
        <v>2.5299999999999998</v>
      </c>
      <c r="AB2030">
        <v>3.98</v>
      </c>
      <c r="AC2030">
        <v>0.43</v>
      </c>
      <c r="AD2030">
        <v>6.91</v>
      </c>
      <c r="AE2030">
        <v>5.64</v>
      </c>
      <c r="AF2030">
        <v>3.76</v>
      </c>
      <c r="AG2030" t="str">
        <f>HYPERLINK("https://finance.naver.com/item/fchart.naver?code=241770", "메카로 차트보기")</f>
        <v>메카로 차트보기</v>
      </c>
    </row>
    <row r="2031" spans="1:33" x14ac:dyDescent="0.3">
      <c r="A2031" t="s">
        <v>8151</v>
      </c>
      <c r="B2031" t="s">
        <v>34</v>
      </c>
      <c r="C2031" t="s">
        <v>8152</v>
      </c>
      <c r="D2031">
        <v>43051.57</v>
      </c>
      <c r="E2031" t="s">
        <v>8153</v>
      </c>
      <c r="F2031">
        <v>0</v>
      </c>
      <c r="G2031">
        <v>0.52999997138977051</v>
      </c>
      <c r="H2031">
        <v>0</v>
      </c>
      <c r="I2031">
        <v>0</v>
      </c>
      <c r="J2031" t="s">
        <v>8154</v>
      </c>
      <c r="K2031">
        <v>4710</v>
      </c>
      <c r="L2031">
        <v>3610</v>
      </c>
      <c r="M2031">
        <v>-23.35</v>
      </c>
      <c r="N2031">
        <v>4.34</v>
      </c>
      <c r="O2031">
        <v>-6.54</v>
      </c>
      <c r="P2031">
        <v>4.1100000000000003</v>
      </c>
      <c r="Q2031">
        <v>-16.07</v>
      </c>
      <c r="R2031">
        <v>-5.0599999999999996</v>
      </c>
      <c r="S2031">
        <v>-8.41</v>
      </c>
      <c r="T2031">
        <v>1.08</v>
      </c>
      <c r="U2031">
        <v>1.63</v>
      </c>
      <c r="V2031">
        <v>1.56</v>
      </c>
      <c r="W2031">
        <v>3.81</v>
      </c>
      <c r="X2031">
        <v>1.89</v>
      </c>
      <c r="Y2031">
        <v>1.68</v>
      </c>
      <c r="Z2031">
        <v>4.0199999999999996</v>
      </c>
      <c r="AA2031">
        <v>4.01</v>
      </c>
      <c r="AB2031">
        <v>2.63</v>
      </c>
      <c r="AC2031">
        <v>4.22</v>
      </c>
      <c r="AD2031">
        <v>2.68</v>
      </c>
      <c r="AE2031">
        <v>5.01</v>
      </c>
      <c r="AF2031">
        <v>3.7616666666666672</v>
      </c>
      <c r="AG2031" t="str">
        <f>HYPERLINK("https://finance.naver.com/item/fchart.naver?code=014130", "한익스프레스 차트보기")</f>
        <v>한익스프레스 차트보기</v>
      </c>
    </row>
    <row r="2032" spans="1:33" x14ac:dyDescent="0.3">
      <c r="A2032" t="s">
        <v>8155</v>
      </c>
      <c r="B2032" t="s">
        <v>55</v>
      </c>
      <c r="C2032" t="s">
        <v>8156</v>
      </c>
      <c r="D2032">
        <v>19393.099999999999</v>
      </c>
      <c r="E2032" t="s">
        <v>8157</v>
      </c>
      <c r="F2032">
        <v>25.51</v>
      </c>
      <c r="G2032">
        <v>1.8400000333786011</v>
      </c>
      <c r="H2032">
        <v>263</v>
      </c>
      <c r="I2032">
        <v>0</v>
      </c>
      <c r="J2032" t="s">
        <v>8158</v>
      </c>
      <c r="K2032">
        <v>9100</v>
      </c>
      <c r="L2032">
        <v>6710</v>
      </c>
      <c r="M2032">
        <v>-26.26</v>
      </c>
      <c r="N2032">
        <v>-4.96</v>
      </c>
      <c r="O2032">
        <v>-5.97</v>
      </c>
      <c r="P2032">
        <v>-4.07</v>
      </c>
      <c r="Q2032">
        <v>-5.92</v>
      </c>
      <c r="R2032">
        <v>-5.56</v>
      </c>
      <c r="S2032">
        <v>-0.66</v>
      </c>
      <c r="T2032">
        <v>0.99</v>
      </c>
      <c r="U2032">
        <v>1.28</v>
      </c>
      <c r="V2032">
        <v>1.46</v>
      </c>
      <c r="W2032">
        <v>2.95</v>
      </c>
      <c r="X2032">
        <v>0.74</v>
      </c>
      <c r="Y2032">
        <v>1.1100000000000001</v>
      </c>
      <c r="Z2032">
        <v>5.01</v>
      </c>
      <c r="AA2032">
        <v>4.66</v>
      </c>
      <c r="AB2032">
        <v>2.79</v>
      </c>
      <c r="AC2032">
        <v>2.0099999999999998</v>
      </c>
      <c r="AD2032">
        <v>7.51</v>
      </c>
      <c r="AE2032">
        <v>0.59</v>
      </c>
      <c r="AF2032">
        <v>3.7616666666666672</v>
      </c>
      <c r="AG2032" t="str">
        <f>HYPERLINK("https://finance.naver.com/item/fchart.naver?code=261200", "덴티스 차트보기")</f>
        <v>덴티스 차트보기</v>
      </c>
    </row>
    <row r="2033" spans="1:33" x14ac:dyDescent="0.3">
      <c r="A2033" t="s">
        <v>8159</v>
      </c>
      <c r="B2033" t="s">
        <v>55</v>
      </c>
      <c r="C2033" t="s">
        <v>8160</v>
      </c>
      <c r="D2033">
        <v>36293.480000000003</v>
      </c>
      <c r="E2033" t="s">
        <v>8161</v>
      </c>
      <c r="F2033">
        <v>5.94</v>
      </c>
      <c r="G2033">
        <v>0.54000002145767212</v>
      </c>
      <c r="H2033">
        <v>869</v>
      </c>
      <c r="I2033">
        <v>3.880000114440918</v>
      </c>
      <c r="J2033" t="s">
        <v>8162</v>
      </c>
      <c r="K2033">
        <v>7240</v>
      </c>
      <c r="L2033">
        <v>5160</v>
      </c>
      <c r="M2033">
        <v>-28.73</v>
      </c>
      <c r="N2033">
        <v>-3.19</v>
      </c>
      <c r="O2033">
        <v>-7.3</v>
      </c>
      <c r="P2033">
        <v>-4.4000000000000004</v>
      </c>
      <c r="Q2033">
        <v>-6.81</v>
      </c>
      <c r="R2033">
        <v>-9.31</v>
      </c>
      <c r="S2033">
        <v>-1.37</v>
      </c>
      <c r="T2033">
        <v>1.07</v>
      </c>
      <c r="U2033">
        <v>1.38</v>
      </c>
      <c r="V2033">
        <v>2.69</v>
      </c>
      <c r="W2033">
        <v>5.15</v>
      </c>
      <c r="X2033">
        <v>0.9</v>
      </c>
      <c r="Y2033">
        <v>1.37</v>
      </c>
      <c r="Z2033">
        <v>2.98</v>
      </c>
      <c r="AA2033">
        <v>5.29</v>
      </c>
      <c r="AB2033">
        <v>1.64</v>
      </c>
      <c r="AC2033">
        <v>1.32</v>
      </c>
      <c r="AD2033">
        <v>10.34</v>
      </c>
      <c r="AE2033">
        <v>1</v>
      </c>
      <c r="AF2033">
        <v>3.7616666666666672</v>
      </c>
      <c r="AG2033" t="str">
        <f>HYPERLINK("https://finance.naver.com/item/fchart.naver?code=170030", "현대공업 차트보기")</f>
        <v>현대공업 차트보기</v>
      </c>
    </row>
    <row r="2034" spans="1:33" x14ac:dyDescent="0.3">
      <c r="A2034" t="s">
        <v>8163</v>
      </c>
      <c r="B2034" t="s">
        <v>55</v>
      </c>
      <c r="C2034" t="s">
        <v>8164</v>
      </c>
      <c r="D2034">
        <v>56786.38</v>
      </c>
      <c r="E2034" t="s">
        <v>8165</v>
      </c>
      <c r="F2034">
        <v>15.18</v>
      </c>
      <c r="G2034">
        <v>1.929999947547913</v>
      </c>
      <c r="H2034">
        <v>4125</v>
      </c>
      <c r="I2034">
        <v>2.0799999237060551</v>
      </c>
      <c r="J2034" t="s">
        <v>8166</v>
      </c>
      <c r="K2034">
        <v>64800</v>
      </c>
      <c r="L2034">
        <v>62600</v>
      </c>
      <c r="M2034">
        <v>-3.4</v>
      </c>
      <c r="N2034">
        <v>10.41</v>
      </c>
      <c r="O2034">
        <v>9.98</v>
      </c>
      <c r="P2034">
        <v>0.37</v>
      </c>
      <c r="Q2034">
        <v>-5.9</v>
      </c>
      <c r="R2034">
        <v>-4.46</v>
      </c>
      <c r="S2034">
        <v>-4.88</v>
      </c>
      <c r="T2034">
        <v>3.78</v>
      </c>
      <c r="U2034">
        <v>1.74</v>
      </c>
      <c r="V2034">
        <v>1.83</v>
      </c>
      <c r="W2034">
        <v>2.52</v>
      </c>
      <c r="X2034">
        <v>1.17</v>
      </c>
      <c r="Y2034">
        <v>0.63</v>
      </c>
      <c r="Z2034">
        <v>2.75</v>
      </c>
      <c r="AA2034">
        <v>5.74</v>
      </c>
      <c r="AB2034">
        <v>0.2</v>
      </c>
      <c r="AC2034">
        <v>2.34</v>
      </c>
      <c r="AD2034">
        <v>3.81</v>
      </c>
      <c r="AE2034">
        <v>7.75</v>
      </c>
      <c r="AF2034">
        <v>3.7650000000000001</v>
      </c>
      <c r="AG2034" t="str">
        <f>HYPERLINK("https://finance.naver.com/item/fchart.naver?code=053800", "안랩 차트보기")</f>
        <v>안랩 차트보기</v>
      </c>
    </row>
    <row r="2035" spans="1:33" x14ac:dyDescent="0.3">
      <c r="A2035" t="s">
        <v>8167</v>
      </c>
      <c r="B2035" t="s">
        <v>55</v>
      </c>
      <c r="C2035" t="s">
        <v>8168</v>
      </c>
      <c r="D2035">
        <v>27885</v>
      </c>
      <c r="E2035" t="s">
        <v>8169</v>
      </c>
      <c r="F2035">
        <v>0</v>
      </c>
      <c r="G2035">
        <v>12</v>
      </c>
      <c r="H2035">
        <v>0</v>
      </c>
      <c r="I2035">
        <v>0</v>
      </c>
      <c r="J2035" t="s">
        <v>8170</v>
      </c>
      <c r="K2035">
        <v>12940</v>
      </c>
      <c r="L2035">
        <v>5940</v>
      </c>
      <c r="M2035">
        <v>-54.1</v>
      </c>
      <c r="N2035">
        <v>-6.9</v>
      </c>
      <c r="O2035">
        <v>-19.93</v>
      </c>
      <c r="P2035">
        <v>-7.45</v>
      </c>
      <c r="Q2035">
        <v>-11.51</v>
      </c>
      <c r="R2035">
        <v>-20.71</v>
      </c>
      <c r="S2035">
        <v>-8.6300000000000008</v>
      </c>
      <c r="T2035">
        <v>2.86</v>
      </c>
      <c r="U2035">
        <v>2.89</v>
      </c>
      <c r="V2035">
        <v>2.7</v>
      </c>
      <c r="W2035">
        <v>5.84</v>
      </c>
      <c r="X2035">
        <v>3.1</v>
      </c>
      <c r="Y2035">
        <v>4.5999999999999996</v>
      </c>
      <c r="Z2035">
        <v>2.41</v>
      </c>
      <c r="AA2035">
        <v>6.9</v>
      </c>
      <c r="AB2035">
        <v>2.76</v>
      </c>
      <c r="AC2035">
        <v>1.97</v>
      </c>
      <c r="AD2035">
        <v>6.68</v>
      </c>
      <c r="AE2035">
        <v>1.88</v>
      </c>
      <c r="AF2035">
        <v>3.7666666666666662</v>
      </c>
      <c r="AG2035" t="str">
        <f>HYPERLINK("https://finance.naver.com/item/fchart.naver?code=355690", "에이텀 차트보기")</f>
        <v>에이텀 차트보기</v>
      </c>
    </row>
    <row r="2036" spans="1:33" x14ac:dyDescent="0.3">
      <c r="A2036" t="s">
        <v>8171</v>
      </c>
      <c r="B2036" t="s">
        <v>55</v>
      </c>
      <c r="C2036" t="s">
        <v>8172</v>
      </c>
      <c r="D2036">
        <v>259192.33</v>
      </c>
      <c r="E2036" t="s">
        <v>8173</v>
      </c>
      <c r="F2036">
        <v>0</v>
      </c>
      <c r="G2036">
        <v>1.419999957084656</v>
      </c>
      <c r="H2036">
        <v>0</v>
      </c>
      <c r="I2036">
        <v>0</v>
      </c>
      <c r="J2036" t="s">
        <v>8174</v>
      </c>
      <c r="K2036">
        <v>949</v>
      </c>
      <c r="L2036">
        <v>717</v>
      </c>
      <c r="M2036">
        <v>-24.45</v>
      </c>
      <c r="N2036">
        <v>17.350000000000001</v>
      </c>
      <c r="O2036">
        <v>-14.84</v>
      </c>
      <c r="P2036">
        <v>-19.57</v>
      </c>
      <c r="Q2036">
        <v>-16.899999999999999</v>
      </c>
      <c r="R2036">
        <v>19.829999999999998</v>
      </c>
      <c r="S2036">
        <v>-0.18</v>
      </c>
      <c r="T2036">
        <v>2.56</v>
      </c>
      <c r="U2036">
        <v>3.7</v>
      </c>
      <c r="V2036">
        <v>5.21</v>
      </c>
      <c r="W2036">
        <v>3.77</v>
      </c>
      <c r="X2036">
        <v>5.61</v>
      </c>
      <c r="Y2036">
        <v>4.08</v>
      </c>
      <c r="Z2036">
        <v>6.78</v>
      </c>
      <c r="AA2036">
        <v>4.01</v>
      </c>
      <c r="AB2036">
        <v>3.76</v>
      </c>
      <c r="AC2036">
        <v>4.4800000000000004</v>
      </c>
      <c r="AD2036">
        <v>3.53</v>
      </c>
      <c r="AE2036">
        <v>0.04</v>
      </c>
      <c r="AF2036">
        <v>3.7666666666666671</v>
      </c>
      <c r="AG2036" t="str">
        <f>HYPERLINK("https://finance.naver.com/item/fchart.naver?code=032980", "바이온 차트보기")</f>
        <v>바이온 차트보기</v>
      </c>
    </row>
    <row r="2037" spans="1:33" x14ac:dyDescent="0.3">
      <c r="A2037" t="s">
        <v>8175</v>
      </c>
      <c r="B2037" t="s">
        <v>55</v>
      </c>
      <c r="C2037" t="s">
        <v>8176</v>
      </c>
      <c r="D2037">
        <v>42644.1</v>
      </c>
      <c r="E2037" t="s">
        <v>8177</v>
      </c>
      <c r="F2037">
        <v>0</v>
      </c>
      <c r="G2037">
        <v>1.470000028610229</v>
      </c>
      <c r="H2037">
        <v>0</v>
      </c>
      <c r="I2037">
        <v>0</v>
      </c>
      <c r="J2037" t="s">
        <v>8178</v>
      </c>
      <c r="K2037">
        <v>7700</v>
      </c>
      <c r="L2037">
        <v>5760</v>
      </c>
      <c r="M2037">
        <v>-25.19</v>
      </c>
      <c r="N2037">
        <v>-4</v>
      </c>
      <c r="O2037">
        <v>-10.72</v>
      </c>
      <c r="P2037">
        <v>-4.46</v>
      </c>
      <c r="Q2037">
        <v>1.61</v>
      </c>
      <c r="R2037">
        <v>-19.46</v>
      </c>
      <c r="S2037">
        <v>-6.93</v>
      </c>
      <c r="T2037">
        <v>3.08</v>
      </c>
      <c r="U2037">
        <v>2.08</v>
      </c>
      <c r="V2037">
        <v>2.11</v>
      </c>
      <c r="W2037">
        <v>5.1100000000000003</v>
      </c>
      <c r="X2037">
        <v>1.99</v>
      </c>
      <c r="Y2037">
        <v>1.76</v>
      </c>
      <c r="Z2037">
        <v>1.3</v>
      </c>
      <c r="AA2037">
        <v>5.15</v>
      </c>
      <c r="AB2037">
        <v>2.11</v>
      </c>
      <c r="AC2037">
        <v>0.32</v>
      </c>
      <c r="AD2037">
        <v>9.7799999999999994</v>
      </c>
      <c r="AE2037">
        <v>3.94</v>
      </c>
      <c r="AF2037">
        <v>3.7666666666666671</v>
      </c>
      <c r="AG2037" t="str">
        <f>HYPERLINK("https://finance.naver.com/item/fchart.naver?code=277880", "티에스아이 차트보기")</f>
        <v>티에스아이 차트보기</v>
      </c>
    </row>
    <row r="2038" spans="1:33" x14ac:dyDescent="0.3">
      <c r="A2038" t="s">
        <v>8179</v>
      </c>
      <c r="B2038" t="s">
        <v>55</v>
      </c>
      <c r="C2038" t="s">
        <v>8180</v>
      </c>
      <c r="D2038">
        <v>416961.95</v>
      </c>
      <c r="E2038" t="s">
        <v>8181</v>
      </c>
      <c r="F2038">
        <v>0</v>
      </c>
      <c r="G2038">
        <v>1.6599999666213989</v>
      </c>
      <c r="H2038">
        <v>0</v>
      </c>
      <c r="I2038">
        <v>0</v>
      </c>
      <c r="J2038" t="s">
        <v>8182</v>
      </c>
      <c r="K2038">
        <v>19400</v>
      </c>
      <c r="L2038">
        <v>12470</v>
      </c>
      <c r="M2038">
        <v>-35.72</v>
      </c>
      <c r="N2038">
        <v>25.45</v>
      </c>
      <c r="O2038">
        <v>6.35</v>
      </c>
      <c r="P2038">
        <v>-0.33</v>
      </c>
      <c r="Q2038">
        <v>-15.09</v>
      </c>
      <c r="R2038">
        <v>-23.59</v>
      </c>
      <c r="S2038">
        <v>-12.7</v>
      </c>
      <c r="T2038">
        <v>6.13</v>
      </c>
      <c r="U2038">
        <v>7.16</v>
      </c>
      <c r="V2038">
        <v>3.47</v>
      </c>
      <c r="W2038">
        <v>4.4400000000000004</v>
      </c>
      <c r="X2038">
        <v>2.74</v>
      </c>
      <c r="Y2038">
        <v>2.3199999999999998</v>
      </c>
      <c r="Z2038">
        <v>4.1500000000000004</v>
      </c>
      <c r="AA2038">
        <v>0.89</v>
      </c>
      <c r="AB2038">
        <v>0.1</v>
      </c>
      <c r="AC2038">
        <v>3.4</v>
      </c>
      <c r="AD2038">
        <v>8.61</v>
      </c>
      <c r="AE2038">
        <v>5.47</v>
      </c>
      <c r="AF2038">
        <v>3.77</v>
      </c>
      <c r="AG2038" t="str">
        <f>HYPERLINK("https://finance.naver.com/item/fchart.naver?code=451760", "컨텍 차트보기")</f>
        <v>컨텍 차트보기</v>
      </c>
    </row>
    <row r="2039" spans="1:33" x14ac:dyDescent="0.3">
      <c r="A2039" t="s">
        <v>8183</v>
      </c>
      <c r="B2039" t="s">
        <v>34</v>
      </c>
      <c r="C2039" t="s">
        <v>8184</v>
      </c>
      <c r="D2039">
        <v>1092249.71</v>
      </c>
      <c r="E2039" t="s">
        <v>8185</v>
      </c>
      <c r="F2039">
        <v>8.3000000000000007</v>
      </c>
      <c r="G2039">
        <v>0.92000001668930054</v>
      </c>
      <c r="H2039">
        <v>2866</v>
      </c>
      <c r="I2039">
        <v>3.1500000953674321</v>
      </c>
      <c r="J2039" t="s">
        <v>8186</v>
      </c>
      <c r="K2039">
        <v>21850</v>
      </c>
      <c r="L2039">
        <v>23800</v>
      </c>
      <c r="M2039">
        <v>8.92</v>
      </c>
      <c r="N2039">
        <v>0.85</v>
      </c>
      <c r="O2039">
        <v>5.99</v>
      </c>
      <c r="P2039">
        <v>2.04</v>
      </c>
      <c r="Q2039">
        <v>4.01</v>
      </c>
      <c r="R2039">
        <v>-9.77</v>
      </c>
      <c r="S2039">
        <v>8.39</v>
      </c>
      <c r="T2039">
        <v>1.62</v>
      </c>
      <c r="U2039">
        <v>1.48</v>
      </c>
      <c r="V2039">
        <v>1.36</v>
      </c>
      <c r="W2039">
        <v>1.67</v>
      </c>
      <c r="X2039">
        <v>1.03</v>
      </c>
      <c r="Y2039">
        <v>1.8</v>
      </c>
      <c r="Z2039">
        <v>0.52</v>
      </c>
      <c r="AA2039">
        <v>4.05</v>
      </c>
      <c r="AB2039">
        <v>1.5</v>
      </c>
      <c r="AC2039">
        <v>2.4</v>
      </c>
      <c r="AD2039">
        <v>9.49</v>
      </c>
      <c r="AE2039">
        <v>4.66</v>
      </c>
      <c r="AF2039">
        <v>3.77</v>
      </c>
      <c r="AG2039" t="str">
        <f>HYPERLINK("https://finance.naver.com/item/fchart.naver?code=003490", "대한항공 차트보기")</f>
        <v>대한항공 차트보기</v>
      </c>
    </row>
    <row r="2040" spans="1:33" x14ac:dyDescent="0.3">
      <c r="A2040" t="s">
        <v>8187</v>
      </c>
      <c r="B2040" t="s">
        <v>55</v>
      </c>
      <c r="C2040" t="s">
        <v>8188</v>
      </c>
      <c r="D2040">
        <v>6831.05</v>
      </c>
      <c r="E2040" t="s">
        <v>8189</v>
      </c>
      <c r="F2040">
        <v>0</v>
      </c>
      <c r="G2040">
        <v>0.9100000262260437</v>
      </c>
      <c r="H2040">
        <v>0</v>
      </c>
      <c r="I2040">
        <v>3.5099999904632568</v>
      </c>
      <c r="J2040" t="s">
        <v>8190</v>
      </c>
      <c r="K2040">
        <v>7030</v>
      </c>
      <c r="L2040">
        <v>4270</v>
      </c>
      <c r="M2040">
        <v>-39.26</v>
      </c>
      <c r="N2040">
        <v>0.23</v>
      </c>
      <c r="O2040">
        <v>-7.23</v>
      </c>
      <c r="P2040">
        <v>-5.6</v>
      </c>
      <c r="Q2040">
        <v>-10.39</v>
      </c>
      <c r="R2040">
        <v>-9.6199999999999992</v>
      </c>
      <c r="S2040">
        <v>-9.4</v>
      </c>
      <c r="T2040">
        <v>1.34</v>
      </c>
      <c r="U2040">
        <v>1</v>
      </c>
      <c r="V2040">
        <v>3.06</v>
      </c>
      <c r="W2040">
        <v>5.0199999999999996</v>
      </c>
      <c r="X2040">
        <v>1.64</v>
      </c>
      <c r="Y2040">
        <v>1.72</v>
      </c>
      <c r="Z2040">
        <v>0.17</v>
      </c>
      <c r="AA2040">
        <v>7.23</v>
      </c>
      <c r="AB2040">
        <v>1.83</v>
      </c>
      <c r="AC2040">
        <v>2.0699999999999998</v>
      </c>
      <c r="AD2040">
        <v>5.87</v>
      </c>
      <c r="AE2040">
        <v>5.47</v>
      </c>
      <c r="AF2040">
        <v>3.773333333333333</v>
      </c>
      <c r="AG2040" t="str">
        <f>HYPERLINK("https://finance.naver.com/item/fchart.naver?code=065370", "위세아이텍 차트보기")</f>
        <v>위세아이텍 차트보기</v>
      </c>
    </row>
    <row r="2041" spans="1:33" x14ac:dyDescent="0.3">
      <c r="A2041" t="s">
        <v>8191</v>
      </c>
      <c r="B2041" t="s">
        <v>34</v>
      </c>
      <c r="C2041" t="s">
        <v>8192</v>
      </c>
      <c r="D2041">
        <v>39478.57</v>
      </c>
      <c r="E2041" t="s">
        <v>8193</v>
      </c>
      <c r="F2041">
        <v>0</v>
      </c>
      <c r="G2041">
        <v>0</v>
      </c>
      <c r="H2041">
        <v>0</v>
      </c>
      <c r="I2041">
        <v>7.1399998664855957</v>
      </c>
      <c r="J2041" t="s">
        <v>8194</v>
      </c>
      <c r="K2041">
        <v>11490</v>
      </c>
      <c r="L2041">
        <v>11900</v>
      </c>
      <c r="M2041">
        <v>3.57</v>
      </c>
      <c r="N2041">
        <v>-0.92</v>
      </c>
      <c r="O2041">
        <v>1.52</v>
      </c>
      <c r="P2041">
        <v>-1.42</v>
      </c>
      <c r="Q2041">
        <v>0</v>
      </c>
      <c r="R2041">
        <v>5.65</v>
      </c>
      <c r="S2041">
        <v>2.25</v>
      </c>
      <c r="T2041">
        <v>0.42</v>
      </c>
      <c r="U2041">
        <v>0.18</v>
      </c>
      <c r="V2041">
        <v>0.59</v>
      </c>
      <c r="W2041">
        <v>1.22</v>
      </c>
      <c r="X2041">
        <v>0.87</v>
      </c>
      <c r="Y2041">
        <v>0.72</v>
      </c>
      <c r="Z2041">
        <v>2.19</v>
      </c>
      <c r="AA2041">
        <v>8.44</v>
      </c>
      <c r="AB2041">
        <v>2.41</v>
      </c>
      <c r="AC2041">
        <v>0</v>
      </c>
      <c r="AD2041">
        <v>6.49</v>
      </c>
      <c r="AE2041">
        <v>3.12</v>
      </c>
      <c r="AF2041">
        <v>3.7749999999999999</v>
      </c>
      <c r="AG2041" t="str">
        <f>HYPERLINK("https://finance.naver.com/item/fchart.naver?code=005945", "NH투자증권우 차트보기")</f>
        <v>NH투자증권우 차트보기</v>
      </c>
    </row>
    <row r="2042" spans="1:33" x14ac:dyDescent="0.3">
      <c r="A2042" t="s">
        <v>8195</v>
      </c>
      <c r="B2042" t="s">
        <v>55</v>
      </c>
      <c r="C2042" t="s">
        <v>8196</v>
      </c>
      <c r="D2042">
        <v>8879.7099999999991</v>
      </c>
      <c r="E2042" t="s">
        <v>8197</v>
      </c>
      <c r="F2042">
        <v>0</v>
      </c>
      <c r="G2042">
        <v>0</v>
      </c>
      <c r="H2042">
        <v>0</v>
      </c>
      <c r="I2042">
        <v>0</v>
      </c>
      <c r="J2042" t="s">
        <v>8198</v>
      </c>
      <c r="K2042">
        <v>10030</v>
      </c>
      <c r="L2042">
        <v>10420</v>
      </c>
      <c r="M2042">
        <v>3.89</v>
      </c>
      <c r="N2042">
        <v>0.39</v>
      </c>
      <c r="O2042">
        <v>0.97</v>
      </c>
      <c r="P2042">
        <v>0</v>
      </c>
      <c r="Q2042">
        <v>0.49</v>
      </c>
      <c r="R2042">
        <v>1.9</v>
      </c>
      <c r="S2042">
        <v>0.2</v>
      </c>
      <c r="T2042">
        <v>0.11</v>
      </c>
      <c r="U2042">
        <v>0.15</v>
      </c>
      <c r="V2042">
        <v>0.15</v>
      </c>
      <c r="W2042">
        <v>0.28999999999999998</v>
      </c>
      <c r="X2042">
        <v>0.19</v>
      </c>
      <c r="Y2042">
        <v>0.21</v>
      </c>
      <c r="Z2042">
        <v>3.55</v>
      </c>
      <c r="AA2042">
        <v>6.47</v>
      </c>
      <c r="AB2042">
        <v>0</v>
      </c>
      <c r="AC2042">
        <v>1.69</v>
      </c>
      <c r="AD2042">
        <v>10</v>
      </c>
      <c r="AE2042">
        <v>0.95</v>
      </c>
      <c r="AF2042">
        <v>3.7766666666666668</v>
      </c>
      <c r="AG2042" t="str">
        <f>HYPERLINK("https://finance.naver.com/item/fchart.naver?code=439250", "삼성스팩7호 차트보기")</f>
        <v>삼성스팩7호 차트보기</v>
      </c>
    </row>
    <row r="2043" spans="1:33" x14ac:dyDescent="0.3">
      <c r="A2043" t="s">
        <v>8199</v>
      </c>
      <c r="B2043" t="s">
        <v>55</v>
      </c>
      <c r="C2043" t="s">
        <v>8200</v>
      </c>
      <c r="D2043">
        <v>32602.95</v>
      </c>
      <c r="E2043" t="s">
        <v>8201</v>
      </c>
      <c r="F2043">
        <v>0</v>
      </c>
      <c r="G2043">
        <v>0.64999997615814209</v>
      </c>
      <c r="H2043">
        <v>0</v>
      </c>
      <c r="I2043">
        <v>0</v>
      </c>
      <c r="J2043" t="s">
        <v>8202</v>
      </c>
      <c r="K2043">
        <v>27800</v>
      </c>
      <c r="L2043">
        <v>12100</v>
      </c>
      <c r="M2043">
        <v>-56.47</v>
      </c>
      <c r="N2043">
        <v>-6.13</v>
      </c>
      <c r="O2043">
        <v>-5.19</v>
      </c>
      <c r="P2043">
        <v>-4.49</v>
      </c>
      <c r="Q2043">
        <v>-20.7</v>
      </c>
      <c r="R2043">
        <v>-22.84</v>
      </c>
      <c r="S2043">
        <v>-11.82</v>
      </c>
      <c r="T2043">
        <v>3.11</v>
      </c>
      <c r="U2043">
        <v>2.7</v>
      </c>
      <c r="V2043">
        <v>3.38</v>
      </c>
      <c r="W2043">
        <v>5.37</v>
      </c>
      <c r="X2043">
        <v>2.48</v>
      </c>
      <c r="Y2043">
        <v>2.7</v>
      </c>
      <c r="Z2043">
        <v>1.97</v>
      </c>
      <c r="AA2043">
        <v>1.92</v>
      </c>
      <c r="AB2043">
        <v>1.33</v>
      </c>
      <c r="AC2043">
        <v>3.85</v>
      </c>
      <c r="AD2043">
        <v>9.2100000000000009</v>
      </c>
      <c r="AE2043">
        <v>4.38</v>
      </c>
      <c r="AF2043">
        <v>3.7766666666666668</v>
      </c>
      <c r="AG2043" t="str">
        <f>HYPERLINK("https://finance.naver.com/item/fchart.naver?code=330860", "네패스아크 차트보기")</f>
        <v>네패스아크 차트보기</v>
      </c>
    </row>
    <row r="2044" spans="1:33" x14ac:dyDescent="0.3">
      <c r="A2044" t="s">
        <v>8203</v>
      </c>
      <c r="B2044" t="s">
        <v>34</v>
      </c>
      <c r="C2044" t="s">
        <v>8204</v>
      </c>
      <c r="D2044">
        <v>105091.57</v>
      </c>
      <c r="E2044" t="s">
        <v>8205</v>
      </c>
      <c r="F2044">
        <v>0</v>
      </c>
      <c r="G2044">
        <v>0</v>
      </c>
      <c r="H2044">
        <v>0</v>
      </c>
      <c r="I2044">
        <v>3.9300000667572021</v>
      </c>
      <c r="J2044" t="s">
        <v>8206</v>
      </c>
      <c r="K2044">
        <v>3375</v>
      </c>
      <c r="L2044">
        <v>2570</v>
      </c>
      <c r="M2044">
        <v>-23.85</v>
      </c>
      <c r="N2044">
        <v>-9.19</v>
      </c>
      <c r="O2044">
        <v>10.08</v>
      </c>
      <c r="P2044">
        <v>-0.38</v>
      </c>
      <c r="Q2044">
        <v>-12.8</v>
      </c>
      <c r="R2044">
        <v>-22.64</v>
      </c>
      <c r="S2044">
        <v>-0.77</v>
      </c>
      <c r="T2044">
        <v>1.39</v>
      </c>
      <c r="U2044">
        <v>1.65</v>
      </c>
      <c r="V2044">
        <v>1.4</v>
      </c>
      <c r="W2044">
        <v>2.89</v>
      </c>
      <c r="X2044">
        <v>4.7300000000000004</v>
      </c>
      <c r="Y2044">
        <v>1.72</v>
      </c>
      <c r="Z2044">
        <v>6.61</v>
      </c>
      <c r="AA2044">
        <v>6.11</v>
      </c>
      <c r="AB2044">
        <v>0.27</v>
      </c>
      <c r="AC2044">
        <v>4.43</v>
      </c>
      <c r="AD2044">
        <v>4.79</v>
      </c>
      <c r="AE2044">
        <v>0.45</v>
      </c>
      <c r="AF2044">
        <v>3.7766666666666668</v>
      </c>
      <c r="AG2044" t="str">
        <f>HYPERLINK("https://finance.naver.com/item/fchart.naver?code=33637K", "솔루스첨단소재1우 차트보기")</f>
        <v>솔루스첨단소재1우 차트보기</v>
      </c>
    </row>
    <row r="2045" spans="1:33" x14ac:dyDescent="0.3">
      <c r="A2045" t="s">
        <v>8207</v>
      </c>
      <c r="B2045" t="s">
        <v>55</v>
      </c>
      <c r="C2045" t="s">
        <v>8208</v>
      </c>
      <c r="D2045">
        <v>40718.050000000003</v>
      </c>
      <c r="E2045" t="s">
        <v>8209</v>
      </c>
      <c r="F2045">
        <v>3.39</v>
      </c>
      <c r="G2045">
        <v>0.49000000953674322</v>
      </c>
      <c r="H2045">
        <v>3014</v>
      </c>
      <c r="I2045">
        <v>5.3899998664855957</v>
      </c>
      <c r="J2045" t="s">
        <v>8210</v>
      </c>
      <c r="K2045">
        <v>10500</v>
      </c>
      <c r="L2045">
        <v>10210</v>
      </c>
      <c r="M2045">
        <v>-2.76</v>
      </c>
      <c r="N2045">
        <v>3.13</v>
      </c>
      <c r="O2045">
        <v>6.95</v>
      </c>
      <c r="P2045">
        <v>-5.9</v>
      </c>
      <c r="Q2045">
        <v>-9.06</v>
      </c>
      <c r="R2045">
        <v>-9.5500000000000007</v>
      </c>
      <c r="S2045">
        <v>-7.49</v>
      </c>
      <c r="T2045">
        <v>1.33</v>
      </c>
      <c r="U2045">
        <v>1.39</v>
      </c>
      <c r="V2045">
        <v>1.62</v>
      </c>
      <c r="W2045">
        <v>2.85</v>
      </c>
      <c r="X2045">
        <v>1.83</v>
      </c>
      <c r="Y2045">
        <v>2.29</v>
      </c>
      <c r="Z2045">
        <v>2.35</v>
      </c>
      <c r="AA2045">
        <v>5</v>
      </c>
      <c r="AB2045">
        <v>3.64</v>
      </c>
      <c r="AC2045">
        <v>3.18</v>
      </c>
      <c r="AD2045">
        <v>5.22</v>
      </c>
      <c r="AE2045">
        <v>3.27</v>
      </c>
      <c r="AF2045">
        <v>3.7766666666666668</v>
      </c>
      <c r="AG2045" t="str">
        <f>HYPERLINK("https://finance.naver.com/item/fchart.naver?code=011560", "세보엠이씨 차트보기")</f>
        <v>세보엠이씨 차트보기</v>
      </c>
    </row>
    <row r="2046" spans="1:33" x14ac:dyDescent="0.3">
      <c r="A2046" t="s">
        <v>8211</v>
      </c>
      <c r="B2046" t="s">
        <v>55</v>
      </c>
      <c r="C2046" t="s">
        <v>8212</v>
      </c>
      <c r="D2046">
        <v>612517.52</v>
      </c>
      <c r="E2046" t="s">
        <v>8213</v>
      </c>
      <c r="F2046">
        <v>80.400000000000006</v>
      </c>
      <c r="G2046">
        <v>3.4600000381469731</v>
      </c>
      <c r="H2046">
        <v>177</v>
      </c>
      <c r="I2046">
        <v>0</v>
      </c>
      <c r="J2046" t="s">
        <v>8214</v>
      </c>
      <c r="K2046">
        <v>14200</v>
      </c>
      <c r="L2046">
        <v>14230</v>
      </c>
      <c r="M2046">
        <v>0.21</v>
      </c>
      <c r="N2046">
        <v>0.71</v>
      </c>
      <c r="O2046">
        <v>-6.69</v>
      </c>
      <c r="P2046">
        <v>-14.77</v>
      </c>
      <c r="Q2046">
        <v>-33.68</v>
      </c>
      <c r="R2046">
        <v>55.35</v>
      </c>
      <c r="S2046">
        <v>5.92</v>
      </c>
      <c r="T2046">
        <v>1.92</v>
      </c>
      <c r="U2046">
        <v>2.72</v>
      </c>
      <c r="V2046">
        <v>2.95</v>
      </c>
      <c r="W2046">
        <v>8.0299999999999994</v>
      </c>
      <c r="X2046">
        <v>6.32</v>
      </c>
      <c r="Y2046">
        <v>3.15</v>
      </c>
      <c r="Z2046">
        <v>0.37</v>
      </c>
      <c r="AA2046">
        <v>2.46</v>
      </c>
      <c r="AB2046">
        <v>5.01</v>
      </c>
      <c r="AC2046">
        <v>4.1900000000000004</v>
      </c>
      <c r="AD2046">
        <v>8.76</v>
      </c>
      <c r="AE2046">
        <v>1.88</v>
      </c>
      <c r="AF2046">
        <v>3.7783333333333329</v>
      </c>
      <c r="AG2046" t="str">
        <f>HYPERLINK("https://finance.naver.com/item/fchart.naver?code=225570", "넥슨게임즈 차트보기")</f>
        <v>넥슨게임즈 차트보기</v>
      </c>
    </row>
    <row r="2047" spans="1:33" x14ac:dyDescent="0.3">
      <c r="A2047" t="s">
        <v>8215</v>
      </c>
      <c r="B2047" t="s">
        <v>34</v>
      </c>
      <c r="C2047" t="s">
        <v>8216</v>
      </c>
      <c r="D2047">
        <v>209022.48</v>
      </c>
      <c r="E2047" t="s">
        <v>8217</v>
      </c>
      <c r="F2047">
        <v>0</v>
      </c>
      <c r="G2047">
        <v>0.43000000715255737</v>
      </c>
      <c r="H2047">
        <v>0</v>
      </c>
      <c r="I2047">
        <v>0</v>
      </c>
      <c r="J2047" t="s">
        <v>8218</v>
      </c>
      <c r="K2047">
        <v>3935</v>
      </c>
      <c r="L2047">
        <v>5440</v>
      </c>
      <c r="M2047">
        <v>38.25</v>
      </c>
      <c r="N2047">
        <v>-21.16</v>
      </c>
      <c r="O2047">
        <v>-7.92</v>
      </c>
      <c r="P2047">
        <v>29.44</v>
      </c>
      <c r="Q2047">
        <v>-14.05</v>
      </c>
      <c r="R2047">
        <v>15.26</v>
      </c>
      <c r="S2047">
        <v>42.41</v>
      </c>
      <c r="T2047">
        <v>7.21</v>
      </c>
      <c r="U2047">
        <v>2.5099999999999998</v>
      </c>
      <c r="V2047">
        <v>4.63</v>
      </c>
      <c r="W2047">
        <v>4.71</v>
      </c>
      <c r="X2047">
        <v>7.04</v>
      </c>
      <c r="Y2047">
        <v>8.35</v>
      </c>
      <c r="Z2047">
        <v>2.93</v>
      </c>
      <c r="AA2047">
        <v>3.16</v>
      </c>
      <c r="AB2047">
        <v>6.36</v>
      </c>
      <c r="AC2047">
        <v>2.98</v>
      </c>
      <c r="AD2047">
        <v>2.17</v>
      </c>
      <c r="AE2047">
        <v>5.08</v>
      </c>
      <c r="AF2047">
        <v>3.78</v>
      </c>
      <c r="AG2047" t="str">
        <f>HYPERLINK("https://finance.naver.com/item/fchart.naver?code=014710", "사조씨푸드 차트보기")</f>
        <v>사조씨푸드 차트보기</v>
      </c>
    </row>
    <row r="2048" spans="1:33" x14ac:dyDescent="0.3">
      <c r="A2048" t="s">
        <v>8219</v>
      </c>
      <c r="B2048" t="s">
        <v>55</v>
      </c>
      <c r="C2048" t="s">
        <v>8220</v>
      </c>
      <c r="D2048">
        <v>230881.81</v>
      </c>
      <c r="E2048" t="s">
        <v>8221</v>
      </c>
      <c r="F2048">
        <v>0</v>
      </c>
      <c r="G2048">
        <v>35.830001831054688</v>
      </c>
      <c r="H2048">
        <v>0</v>
      </c>
      <c r="I2048">
        <v>0</v>
      </c>
      <c r="J2048" t="s">
        <v>8222</v>
      </c>
      <c r="K2048">
        <v>35800</v>
      </c>
      <c r="L2048">
        <v>23400</v>
      </c>
      <c r="M2048">
        <v>-34.64</v>
      </c>
      <c r="N2048">
        <v>4</v>
      </c>
      <c r="O2048">
        <v>-15.14</v>
      </c>
      <c r="P2048">
        <v>3.3</v>
      </c>
      <c r="Q2048">
        <v>-10</v>
      </c>
      <c r="R2048">
        <v>-17.8</v>
      </c>
      <c r="S2048">
        <v>-11.26</v>
      </c>
      <c r="T2048">
        <v>3.66</v>
      </c>
      <c r="U2048">
        <v>2.57</v>
      </c>
      <c r="V2048">
        <v>8.08</v>
      </c>
      <c r="W2048">
        <v>4.88</v>
      </c>
      <c r="X2048">
        <v>2.21</v>
      </c>
      <c r="Y2048">
        <v>2.17</v>
      </c>
      <c r="Z2048">
        <v>1.0900000000000001</v>
      </c>
      <c r="AA2048">
        <v>5.89</v>
      </c>
      <c r="AB2048">
        <v>0.41</v>
      </c>
      <c r="AC2048">
        <v>2.0499999999999998</v>
      </c>
      <c r="AD2048">
        <v>8.0500000000000007</v>
      </c>
      <c r="AE2048">
        <v>5.19</v>
      </c>
      <c r="AF2048">
        <v>3.7800000000000011</v>
      </c>
      <c r="AG2048" t="str">
        <f>HYPERLINK("https://finance.naver.com/item/fchart.naver?code=455900", "엔젤로보틱스 차트보기")</f>
        <v>엔젤로보틱스 차트보기</v>
      </c>
    </row>
    <row r="2049" spans="1:33" x14ac:dyDescent="0.3">
      <c r="A2049" t="s">
        <v>8223</v>
      </c>
      <c r="B2049" t="s">
        <v>55</v>
      </c>
      <c r="C2049" t="s">
        <v>8224</v>
      </c>
      <c r="D2049">
        <v>85721.48</v>
      </c>
      <c r="E2049" t="s">
        <v>8225</v>
      </c>
      <c r="F2049">
        <v>0</v>
      </c>
      <c r="G2049">
        <v>0.52999997138977051</v>
      </c>
      <c r="H2049">
        <v>0</v>
      </c>
      <c r="I2049">
        <v>0</v>
      </c>
      <c r="J2049" t="s">
        <v>8226</v>
      </c>
      <c r="K2049">
        <v>2110</v>
      </c>
      <c r="L2049">
        <v>1663</v>
      </c>
      <c r="M2049">
        <v>-21.18</v>
      </c>
      <c r="N2049">
        <v>-1.48</v>
      </c>
      <c r="O2049">
        <v>-4.37</v>
      </c>
      <c r="P2049">
        <v>1.1200000000000001</v>
      </c>
      <c r="Q2049">
        <v>-5.25</v>
      </c>
      <c r="R2049">
        <v>-2.23</v>
      </c>
      <c r="S2049">
        <v>-6.55</v>
      </c>
      <c r="T2049">
        <v>0.68</v>
      </c>
      <c r="U2049">
        <v>1.24</v>
      </c>
      <c r="V2049">
        <v>1.56</v>
      </c>
      <c r="W2049">
        <v>2.12</v>
      </c>
      <c r="X2049">
        <v>0.73</v>
      </c>
      <c r="Y2049">
        <v>0.61</v>
      </c>
      <c r="Z2049">
        <v>2.1800000000000002</v>
      </c>
      <c r="AA2049">
        <v>3.52</v>
      </c>
      <c r="AB2049">
        <v>0.72</v>
      </c>
      <c r="AC2049">
        <v>2.48</v>
      </c>
      <c r="AD2049">
        <v>3.05</v>
      </c>
      <c r="AE2049">
        <v>10.74</v>
      </c>
      <c r="AF2049">
        <v>3.7816666666666658</v>
      </c>
      <c r="AG2049" t="str">
        <f>HYPERLINK("https://finance.naver.com/item/fchart.naver?code=056700", "신화인터텍 차트보기")</f>
        <v>신화인터텍 차트보기</v>
      </c>
    </row>
    <row r="2050" spans="1:33" x14ac:dyDescent="0.3">
      <c r="A2050" t="s">
        <v>8227</v>
      </c>
      <c r="B2050" t="s">
        <v>55</v>
      </c>
      <c r="C2050" t="s">
        <v>8228</v>
      </c>
      <c r="D2050">
        <v>44116.24</v>
      </c>
      <c r="E2050" t="s">
        <v>8229</v>
      </c>
      <c r="F2050">
        <v>0</v>
      </c>
      <c r="G2050">
        <v>0.98000001907348633</v>
      </c>
      <c r="H2050">
        <v>0</v>
      </c>
      <c r="I2050">
        <v>0</v>
      </c>
      <c r="J2050" t="s">
        <v>8230</v>
      </c>
      <c r="K2050">
        <v>13190</v>
      </c>
      <c r="L2050">
        <v>6780</v>
      </c>
      <c r="M2050">
        <v>-48.6</v>
      </c>
      <c r="N2050">
        <v>-11.26</v>
      </c>
      <c r="O2050">
        <v>-15.86</v>
      </c>
      <c r="P2050">
        <v>14.6</v>
      </c>
      <c r="Q2050">
        <v>-5.52</v>
      </c>
      <c r="R2050">
        <v>-17.98</v>
      </c>
      <c r="S2050">
        <v>-9.35</v>
      </c>
      <c r="T2050">
        <v>2.52</v>
      </c>
      <c r="U2050">
        <v>3.55</v>
      </c>
      <c r="V2050">
        <v>5.56</v>
      </c>
      <c r="W2050">
        <v>6.02</v>
      </c>
      <c r="X2050">
        <v>2.84</v>
      </c>
      <c r="Y2050">
        <v>2.41</v>
      </c>
      <c r="Z2050">
        <v>4.47</v>
      </c>
      <c r="AA2050">
        <v>4.47</v>
      </c>
      <c r="AB2050">
        <v>2.63</v>
      </c>
      <c r="AC2050">
        <v>0.92</v>
      </c>
      <c r="AD2050">
        <v>6.33</v>
      </c>
      <c r="AE2050">
        <v>3.88</v>
      </c>
      <c r="AF2050">
        <v>3.7833333333333332</v>
      </c>
      <c r="AG2050" t="str">
        <f>HYPERLINK("https://finance.naver.com/item/fchart.naver?code=417840", "저스템 차트보기")</f>
        <v>저스템 차트보기</v>
      </c>
    </row>
    <row r="2051" spans="1:33" x14ac:dyDescent="0.3">
      <c r="A2051" t="s">
        <v>8231</v>
      </c>
      <c r="B2051" t="s">
        <v>55</v>
      </c>
      <c r="C2051" t="s">
        <v>8232</v>
      </c>
      <c r="D2051">
        <v>617450.38</v>
      </c>
      <c r="E2051" t="s">
        <v>8233</v>
      </c>
      <c r="F2051">
        <v>6.59</v>
      </c>
      <c r="G2051">
        <v>1.5900000333786011</v>
      </c>
      <c r="H2051">
        <v>988</v>
      </c>
      <c r="I2051">
        <v>4.6100001335144043</v>
      </c>
      <c r="J2051" t="s">
        <v>8234</v>
      </c>
      <c r="K2051">
        <v>12260</v>
      </c>
      <c r="L2051">
        <v>6510</v>
      </c>
      <c r="M2051">
        <v>-46.9</v>
      </c>
      <c r="N2051">
        <v>-13.77</v>
      </c>
      <c r="O2051">
        <v>24.32</v>
      </c>
      <c r="P2051">
        <v>-8.84</v>
      </c>
      <c r="Q2051">
        <v>-12.47</v>
      </c>
      <c r="R2051">
        <v>-34.549999999999997</v>
      </c>
      <c r="S2051">
        <v>-2.0499999999999998</v>
      </c>
      <c r="T2051">
        <v>4.1399999999999997</v>
      </c>
      <c r="U2051">
        <v>4.16</v>
      </c>
      <c r="V2051">
        <v>3.24</v>
      </c>
      <c r="W2051">
        <v>5.79</v>
      </c>
      <c r="X2051">
        <v>4.29</v>
      </c>
      <c r="Y2051">
        <v>3.43</v>
      </c>
      <c r="Z2051">
        <v>3.33</v>
      </c>
      <c r="AA2051">
        <v>5.85</v>
      </c>
      <c r="AB2051">
        <v>2.73</v>
      </c>
      <c r="AC2051">
        <v>2.15</v>
      </c>
      <c r="AD2051">
        <v>8.0500000000000007</v>
      </c>
      <c r="AE2051">
        <v>0.6</v>
      </c>
      <c r="AF2051">
        <v>3.7850000000000001</v>
      </c>
      <c r="AG2051" t="str">
        <f>HYPERLINK("https://finance.naver.com/item/fchart.naver?code=148150", "세경하이테크 차트보기")</f>
        <v>세경하이테크 차트보기</v>
      </c>
    </row>
    <row r="2052" spans="1:33" x14ac:dyDescent="0.3">
      <c r="A2052" t="s">
        <v>8235</v>
      </c>
      <c r="B2052" t="s">
        <v>34</v>
      </c>
      <c r="C2052" t="s">
        <v>8236</v>
      </c>
      <c r="D2052">
        <v>63674.52</v>
      </c>
      <c r="E2052" t="s">
        <v>8237</v>
      </c>
      <c r="F2052">
        <v>1.65</v>
      </c>
      <c r="G2052">
        <v>0.31999999284744263</v>
      </c>
      <c r="H2052">
        <v>36540</v>
      </c>
      <c r="I2052">
        <v>5.4800000190734863</v>
      </c>
      <c r="J2052" t="s">
        <v>8238</v>
      </c>
      <c r="K2052">
        <v>99400</v>
      </c>
      <c r="L2052">
        <v>60200</v>
      </c>
      <c r="M2052">
        <v>-39.44</v>
      </c>
      <c r="N2052">
        <v>-12.75</v>
      </c>
      <c r="O2052">
        <v>-0.57999999999999996</v>
      </c>
      <c r="P2052">
        <v>0.56999999999999995</v>
      </c>
      <c r="Q2052">
        <v>-5.94</v>
      </c>
      <c r="R2052">
        <v>-16.29</v>
      </c>
      <c r="S2052">
        <v>-7.43</v>
      </c>
      <c r="T2052">
        <v>2.36</v>
      </c>
      <c r="U2052">
        <v>1.56</v>
      </c>
      <c r="V2052">
        <v>1.92</v>
      </c>
      <c r="W2052">
        <v>2.69</v>
      </c>
      <c r="X2052">
        <v>1.8</v>
      </c>
      <c r="Y2052">
        <v>1.38</v>
      </c>
      <c r="Z2052">
        <v>5.4</v>
      </c>
      <c r="AA2052">
        <v>0.37</v>
      </c>
      <c r="AB2052">
        <v>0.3</v>
      </c>
      <c r="AC2052">
        <v>2.21</v>
      </c>
      <c r="AD2052">
        <v>9.0500000000000007</v>
      </c>
      <c r="AE2052">
        <v>5.38</v>
      </c>
      <c r="AF2052">
        <v>3.7850000000000001</v>
      </c>
      <c r="AG2052" t="str">
        <f>HYPERLINK("https://finance.naver.com/item/fchart.naver?code=010060", "OCI홀딩스 차트보기")</f>
        <v>OCI홀딩스 차트보기</v>
      </c>
    </row>
    <row r="2053" spans="1:33" x14ac:dyDescent="0.3">
      <c r="A2053" t="s">
        <v>8239</v>
      </c>
      <c r="B2053" t="s">
        <v>55</v>
      </c>
      <c r="C2053" t="s">
        <v>8240</v>
      </c>
      <c r="D2053">
        <v>143543.51999999999</v>
      </c>
      <c r="E2053" t="s">
        <v>8241</v>
      </c>
      <c r="F2053">
        <v>0</v>
      </c>
      <c r="G2053">
        <v>0.5</v>
      </c>
      <c r="H2053">
        <v>0</v>
      </c>
      <c r="I2053">
        <v>0</v>
      </c>
      <c r="J2053" t="s">
        <v>8242</v>
      </c>
      <c r="K2053">
        <v>1395</v>
      </c>
      <c r="L2053">
        <v>1075</v>
      </c>
      <c r="M2053">
        <v>-22.94</v>
      </c>
      <c r="N2053">
        <v>-7.96</v>
      </c>
      <c r="O2053">
        <v>-18.62</v>
      </c>
      <c r="P2053">
        <v>2</v>
      </c>
      <c r="Q2053">
        <v>-19.88</v>
      </c>
      <c r="R2053">
        <v>-10.69</v>
      </c>
      <c r="S2053">
        <v>-12.92</v>
      </c>
      <c r="T2053">
        <v>2.19</v>
      </c>
      <c r="U2053">
        <v>7.79</v>
      </c>
      <c r="V2053">
        <v>7.79</v>
      </c>
      <c r="W2053">
        <v>8.57</v>
      </c>
      <c r="X2053">
        <v>3.38</v>
      </c>
      <c r="Y2053">
        <v>1.18</v>
      </c>
      <c r="Z2053">
        <v>3.63</v>
      </c>
      <c r="AA2053">
        <v>2.39</v>
      </c>
      <c r="AB2053">
        <v>0.26</v>
      </c>
      <c r="AC2053">
        <v>2.3199999999999998</v>
      </c>
      <c r="AD2053">
        <v>3.16</v>
      </c>
      <c r="AE2053">
        <v>10.95</v>
      </c>
      <c r="AF2053">
        <v>3.7850000000000001</v>
      </c>
      <c r="AG2053" t="str">
        <f>HYPERLINK("https://finance.naver.com/item/fchart.naver?code=060900", "DGP 차트보기")</f>
        <v>DGP 차트보기</v>
      </c>
    </row>
    <row r="2054" spans="1:33" x14ac:dyDescent="0.3">
      <c r="A2054" t="s">
        <v>8243</v>
      </c>
      <c r="B2054" t="s">
        <v>55</v>
      </c>
      <c r="C2054" t="s">
        <v>8244</v>
      </c>
      <c r="D2054">
        <v>217426.67</v>
      </c>
      <c r="E2054" t="s">
        <v>8245</v>
      </c>
      <c r="F2054">
        <v>0</v>
      </c>
      <c r="G2054">
        <v>0.51999998092651367</v>
      </c>
      <c r="H2054">
        <v>0</v>
      </c>
      <c r="I2054">
        <v>0</v>
      </c>
      <c r="J2054" t="s">
        <v>8246</v>
      </c>
      <c r="K2054">
        <v>3925</v>
      </c>
      <c r="L2054">
        <v>3035</v>
      </c>
      <c r="M2054">
        <v>-22.68</v>
      </c>
      <c r="N2054">
        <v>-2.88</v>
      </c>
      <c r="O2054">
        <v>-8.23</v>
      </c>
      <c r="P2054">
        <v>9.85</v>
      </c>
      <c r="Q2054">
        <v>-8.35</v>
      </c>
      <c r="R2054">
        <v>13.42</v>
      </c>
      <c r="S2054">
        <v>-15.58</v>
      </c>
      <c r="T2054">
        <v>2.0099999999999998</v>
      </c>
      <c r="U2054">
        <v>2.17</v>
      </c>
      <c r="V2054">
        <v>2.69</v>
      </c>
      <c r="W2054">
        <v>6.65</v>
      </c>
      <c r="X2054">
        <v>5.3</v>
      </c>
      <c r="Y2054">
        <v>1.55</v>
      </c>
      <c r="Z2054">
        <v>1.43</v>
      </c>
      <c r="AA2054">
        <v>3.79</v>
      </c>
      <c r="AB2054">
        <v>3.66</v>
      </c>
      <c r="AC2054">
        <v>1.26</v>
      </c>
      <c r="AD2054">
        <v>2.5299999999999998</v>
      </c>
      <c r="AE2054">
        <v>10.050000000000001</v>
      </c>
      <c r="AF2054">
        <v>3.7866666666666671</v>
      </c>
      <c r="AG2054" t="str">
        <f>HYPERLINK("https://finance.naver.com/item/fchart.naver?code=040300", "YTN 차트보기")</f>
        <v>YTN 차트보기</v>
      </c>
    </row>
    <row r="2055" spans="1:33" x14ac:dyDescent="0.3">
      <c r="A2055" t="s">
        <v>8247</v>
      </c>
      <c r="B2055" t="s">
        <v>55</v>
      </c>
      <c r="C2055" t="s">
        <v>8248</v>
      </c>
      <c r="D2055">
        <v>47537.57</v>
      </c>
      <c r="E2055" t="s">
        <v>8249</v>
      </c>
      <c r="F2055">
        <v>3.15</v>
      </c>
      <c r="G2055">
        <v>0.47999998927116388</v>
      </c>
      <c r="H2055">
        <v>1588</v>
      </c>
      <c r="I2055">
        <v>5.9899997711181641</v>
      </c>
      <c r="J2055" t="s">
        <v>8250</v>
      </c>
      <c r="K2055">
        <v>8400</v>
      </c>
      <c r="L2055">
        <v>5010</v>
      </c>
      <c r="M2055">
        <v>-40.36</v>
      </c>
      <c r="N2055">
        <v>-3.84</v>
      </c>
      <c r="O2055">
        <v>-4.18</v>
      </c>
      <c r="P2055">
        <v>-9.34</v>
      </c>
      <c r="Q2055">
        <v>-13.19</v>
      </c>
      <c r="R2055">
        <v>-12.27</v>
      </c>
      <c r="S2055">
        <v>-0.5</v>
      </c>
      <c r="T2055">
        <v>2.17</v>
      </c>
      <c r="U2055">
        <v>1.38</v>
      </c>
      <c r="V2055">
        <v>2.67</v>
      </c>
      <c r="W2055">
        <v>3.7</v>
      </c>
      <c r="X2055">
        <v>1.1599999999999999</v>
      </c>
      <c r="Y2055">
        <v>1.76</v>
      </c>
      <c r="Z2055">
        <v>1.77</v>
      </c>
      <c r="AA2055">
        <v>3.03</v>
      </c>
      <c r="AB2055">
        <v>3.5</v>
      </c>
      <c r="AC2055">
        <v>3.56</v>
      </c>
      <c r="AD2055">
        <v>10.58</v>
      </c>
      <c r="AE2055">
        <v>0.28000000000000003</v>
      </c>
      <c r="AF2055">
        <v>3.7866666666666671</v>
      </c>
      <c r="AG2055" t="str">
        <f>HYPERLINK("https://finance.naver.com/item/fchart.naver?code=108230", "톱텍 차트보기")</f>
        <v>톱텍 차트보기</v>
      </c>
    </row>
    <row r="2056" spans="1:33" x14ac:dyDescent="0.3">
      <c r="A2056" t="s">
        <v>8251</v>
      </c>
      <c r="B2056" t="s">
        <v>55</v>
      </c>
      <c r="C2056" t="s">
        <v>8252</v>
      </c>
      <c r="D2056">
        <v>195592.86</v>
      </c>
      <c r="E2056" t="s">
        <v>8253</v>
      </c>
      <c r="F2056">
        <v>0</v>
      </c>
      <c r="G2056">
        <v>0.63999998569488525</v>
      </c>
      <c r="H2056">
        <v>0</v>
      </c>
      <c r="I2056">
        <v>0</v>
      </c>
      <c r="J2056" t="s">
        <v>8254</v>
      </c>
      <c r="K2056">
        <v>1245</v>
      </c>
      <c r="L2056">
        <v>932</v>
      </c>
      <c r="M2056">
        <v>-25.14</v>
      </c>
      <c r="N2056">
        <v>13.24</v>
      </c>
      <c r="O2056">
        <v>-25.72</v>
      </c>
      <c r="P2056">
        <v>-8.83</v>
      </c>
      <c r="Q2056">
        <v>-11.28</v>
      </c>
      <c r="R2056">
        <v>10.4</v>
      </c>
      <c r="S2056">
        <v>-2.06</v>
      </c>
      <c r="T2056">
        <v>12.92</v>
      </c>
      <c r="U2056">
        <v>2.5299999999999998</v>
      </c>
      <c r="V2056">
        <v>2.0099999999999998</v>
      </c>
      <c r="W2056">
        <v>3.58</v>
      </c>
      <c r="X2056">
        <v>6.98</v>
      </c>
      <c r="Y2056">
        <v>0.82</v>
      </c>
      <c r="Z2056">
        <v>1.02</v>
      </c>
      <c r="AA2056">
        <v>10.17</v>
      </c>
      <c r="AB2056">
        <v>4.3899999999999997</v>
      </c>
      <c r="AC2056">
        <v>3.15</v>
      </c>
      <c r="AD2056">
        <v>1.49</v>
      </c>
      <c r="AE2056">
        <v>2.5099999999999998</v>
      </c>
      <c r="AF2056">
        <v>3.7883333333333331</v>
      </c>
      <c r="AG2056" t="str">
        <f>HYPERLINK("https://finance.naver.com/item/fchart.naver?code=196450", "코아시아씨엠 차트보기")</f>
        <v>코아시아씨엠 차트보기</v>
      </c>
    </row>
    <row r="2057" spans="1:33" x14ac:dyDescent="0.3">
      <c r="A2057" t="s">
        <v>8255</v>
      </c>
      <c r="B2057" t="s">
        <v>34</v>
      </c>
      <c r="C2057" t="s">
        <v>8256</v>
      </c>
      <c r="D2057">
        <v>15523.05</v>
      </c>
      <c r="E2057" t="s">
        <v>8257</v>
      </c>
      <c r="F2057">
        <v>0</v>
      </c>
      <c r="G2057">
        <v>0.15999999642372131</v>
      </c>
      <c r="H2057">
        <v>0</v>
      </c>
      <c r="I2057">
        <v>0</v>
      </c>
      <c r="J2057" t="s">
        <v>8258</v>
      </c>
      <c r="K2057">
        <v>2860</v>
      </c>
      <c r="L2057">
        <v>1954</v>
      </c>
      <c r="M2057">
        <v>-31.68</v>
      </c>
      <c r="N2057">
        <v>2.36</v>
      </c>
      <c r="O2057">
        <v>-7.09</v>
      </c>
      <c r="P2057">
        <v>-4.25</v>
      </c>
      <c r="Q2057">
        <v>0</v>
      </c>
      <c r="R2057">
        <v>-4.97</v>
      </c>
      <c r="S2057">
        <v>-19.670000000000002</v>
      </c>
      <c r="T2057">
        <v>0.98</v>
      </c>
      <c r="U2057">
        <v>1.65</v>
      </c>
      <c r="V2057">
        <v>2.1800000000000002</v>
      </c>
      <c r="W2057">
        <v>7.2</v>
      </c>
      <c r="X2057">
        <v>2.2999999999999998</v>
      </c>
      <c r="Y2057">
        <v>1.65</v>
      </c>
      <c r="Z2057">
        <v>2.41</v>
      </c>
      <c r="AA2057">
        <v>4.3</v>
      </c>
      <c r="AB2057">
        <v>1.95</v>
      </c>
      <c r="AC2057">
        <v>0</v>
      </c>
      <c r="AD2057">
        <v>2.16</v>
      </c>
      <c r="AE2057">
        <v>11.92</v>
      </c>
      <c r="AF2057">
        <v>3.79</v>
      </c>
      <c r="AG2057" t="str">
        <f>HYPERLINK("https://finance.naver.com/item/fchart.naver?code=143210", "핸즈코퍼레이션 차트보기")</f>
        <v>핸즈코퍼레이션 차트보기</v>
      </c>
    </row>
    <row r="2058" spans="1:33" x14ac:dyDescent="0.3">
      <c r="A2058" t="s">
        <v>8259</v>
      </c>
      <c r="B2058" t="s">
        <v>55</v>
      </c>
      <c r="C2058" t="s">
        <v>8260</v>
      </c>
      <c r="D2058">
        <v>22726.57</v>
      </c>
      <c r="E2058" t="s">
        <v>8261</v>
      </c>
      <c r="F2058">
        <v>9</v>
      </c>
      <c r="G2058">
        <v>0.64999997615814209</v>
      </c>
      <c r="H2058">
        <v>1157</v>
      </c>
      <c r="I2058">
        <v>3.3599998950958252</v>
      </c>
      <c r="J2058" t="s">
        <v>8262</v>
      </c>
      <c r="K2058">
        <v>21700</v>
      </c>
      <c r="L2058">
        <v>10410</v>
      </c>
      <c r="M2058">
        <v>-52.03</v>
      </c>
      <c r="N2058">
        <v>-4.2300000000000004</v>
      </c>
      <c r="O2058">
        <v>-4.41</v>
      </c>
      <c r="P2058">
        <v>-4.7300000000000004</v>
      </c>
      <c r="Q2058">
        <v>-23.48</v>
      </c>
      <c r="R2058">
        <v>-17.59</v>
      </c>
      <c r="S2058">
        <v>-7.66</v>
      </c>
      <c r="T2058">
        <v>2.87</v>
      </c>
      <c r="U2058">
        <v>2.65</v>
      </c>
      <c r="V2058">
        <v>3.34</v>
      </c>
      <c r="W2058">
        <v>4.28</v>
      </c>
      <c r="X2058">
        <v>1.89</v>
      </c>
      <c r="Y2058">
        <v>2.25</v>
      </c>
      <c r="Z2058">
        <v>1.47</v>
      </c>
      <c r="AA2058">
        <v>1.66</v>
      </c>
      <c r="AB2058">
        <v>1.42</v>
      </c>
      <c r="AC2058">
        <v>5.49</v>
      </c>
      <c r="AD2058">
        <v>9.31</v>
      </c>
      <c r="AE2058">
        <v>3.4</v>
      </c>
      <c r="AF2058">
        <v>3.791666666666667</v>
      </c>
      <c r="AG2058" t="str">
        <f>HYPERLINK("https://finance.naver.com/item/fchart.naver?code=160980", "싸이맥스 차트보기")</f>
        <v>싸이맥스 차트보기</v>
      </c>
    </row>
    <row r="2059" spans="1:33" x14ac:dyDescent="0.3">
      <c r="A2059" t="s">
        <v>8263</v>
      </c>
      <c r="B2059" t="s">
        <v>55</v>
      </c>
      <c r="C2059" t="s">
        <v>8264</v>
      </c>
      <c r="D2059">
        <v>3281283.05</v>
      </c>
      <c r="E2059" t="s">
        <v>8265</v>
      </c>
      <c r="F2059">
        <v>0</v>
      </c>
      <c r="G2059">
        <v>4.4099998474121094</v>
      </c>
      <c r="H2059">
        <v>0</v>
      </c>
      <c r="I2059">
        <v>0</v>
      </c>
      <c r="J2059" t="s">
        <v>8266</v>
      </c>
      <c r="K2059">
        <v>2600</v>
      </c>
      <c r="L2059">
        <v>3575</v>
      </c>
      <c r="M2059">
        <v>37.5</v>
      </c>
      <c r="N2059">
        <v>27.68</v>
      </c>
      <c r="O2059">
        <v>-39.58</v>
      </c>
      <c r="P2059">
        <v>11.03</v>
      </c>
      <c r="Q2059">
        <v>-6.58</v>
      </c>
      <c r="R2059">
        <v>-21.37</v>
      </c>
      <c r="S2059">
        <v>61.69</v>
      </c>
      <c r="T2059">
        <v>9.02</v>
      </c>
      <c r="U2059">
        <v>6.63</v>
      </c>
      <c r="V2059">
        <v>4.72</v>
      </c>
      <c r="W2059">
        <v>5.29</v>
      </c>
      <c r="X2059">
        <v>4.4800000000000004</v>
      </c>
      <c r="Y2059">
        <v>11.48</v>
      </c>
      <c r="Z2059">
        <v>3.07</v>
      </c>
      <c r="AA2059">
        <v>5.97</v>
      </c>
      <c r="AB2059">
        <v>2.34</v>
      </c>
      <c r="AC2059">
        <v>1.24</v>
      </c>
      <c r="AD2059">
        <v>4.7699999999999996</v>
      </c>
      <c r="AE2059">
        <v>5.37</v>
      </c>
      <c r="AF2059">
        <v>3.793333333333333</v>
      </c>
      <c r="AG2059" t="str">
        <f>HYPERLINK("https://finance.naver.com/item/fchart.naver?code=388790", "라이콤 차트보기")</f>
        <v>라이콤 차트보기</v>
      </c>
    </row>
    <row r="2060" spans="1:33" x14ac:dyDescent="0.3">
      <c r="A2060" t="s">
        <v>8267</v>
      </c>
      <c r="B2060" t="s">
        <v>55</v>
      </c>
      <c r="C2060" t="s">
        <v>8268</v>
      </c>
      <c r="D2060">
        <v>515075.67</v>
      </c>
      <c r="E2060" t="s">
        <v>8269</v>
      </c>
      <c r="F2060">
        <v>0</v>
      </c>
      <c r="G2060">
        <v>1.4800000190734861</v>
      </c>
      <c r="H2060">
        <v>0</v>
      </c>
      <c r="I2060">
        <v>0</v>
      </c>
      <c r="J2060" t="s">
        <v>8270</v>
      </c>
      <c r="K2060">
        <v>9550</v>
      </c>
      <c r="L2060">
        <v>6380</v>
      </c>
      <c r="M2060">
        <v>-33.19</v>
      </c>
      <c r="N2060">
        <v>1.1100000000000001</v>
      </c>
      <c r="O2060">
        <v>-21.69</v>
      </c>
      <c r="P2060">
        <v>28.72</v>
      </c>
      <c r="Q2060">
        <v>-8.9600000000000009</v>
      </c>
      <c r="R2060">
        <v>1.9</v>
      </c>
      <c r="S2060">
        <v>-20.92</v>
      </c>
      <c r="T2060">
        <v>3.73</v>
      </c>
      <c r="U2060">
        <v>3.7</v>
      </c>
      <c r="V2060">
        <v>7.55</v>
      </c>
      <c r="W2060">
        <v>4.78</v>
      </c>
      <c r="X2060">
        <v>3.43</v>
      </c>
      <c r="Y2060">
        <v>2.0099999999999998</v>
      </c>
      <c r="Z2060">
        <v>0.3</v>
      </c>
      <c r="AA2060">
        <v>5.86</v>
      </c>
      <c r="AB2060">
        <v>3.8</v>
      </c>
      <c r="AC2060">
        <v>1.87</v>
      </c>
      <c r="AD2060">
        <v>0.55000000000000004</v>
      </c>
      <c r="AE2060">
        <v>10.41</v>
      </c>
      <c r="AF2060">
        <v>3.7983333333333338</v>
      </c>
      <c r="AG2060" t="str">
        <f>HYPERLINK("https://finance.naver.com/item/fchart.naver?code=289220", "자이언트스텝 차트보기")</f>
        <v>자이언트스텝 차트보기</v>
      </c>
    </row>
    <row r="2061" spans="1:33" x14ac:dyDescent="0.3">
      <c r="A2061" t="s">
        <v>8271</v>
      </c>
      <c r="B2061" t="s">
        <v>34</v>
      </c>
      <c r="C2061" t="s">
        <v>8272</v>
      </c>
      <c r="D2061">
        <v>190815.1</v>
      </c>
      <c r="E2061" t="s">
        <v>8273</v>
      </c>
      <c r="F2061">
        <v>2.97</v>
      </c>
      <c r="G2061">
        <v>0.25</v>
      </c>
      <c r="H2061">
        <v>2869</v>
      </c>
      <c r="I2061">
        <v>8.2100000381469727</v>
      </c>
      <c r="J2061" t="s">
        <v>8274</v>
      </c>
      <c r="K2061">
        <v>11190</v>
      </c>
      <c r="L2061">
        <v>8530</v>
      </c>
      <c r="M2061">
        <v>-23.77</v>
      </c>
      <c r="N2061">
        <v>-3.07</v>
      </c>
      <c r="O2061">
        <v>-3.96</v>
      </c>
      <c r="P2061">
        <v>10.78</v>
      </c>
      <c r="Q2061">
        <v>-9.0299999999999994</v>
      </c>
      <c r="R2061">
        <v>-7.11</v>
      </c>
      <c r="S2061">
        <v>-10.61</v>
      </c>
      <c r="T2061">
        <v>1.86</v>
      </c>
      <c r="U2061">
        <v>3.48</v>
      </c>
      <c r="V2061">
        <v>1.92</v>
      </c>
      <c r="W2061">
        <v>2.5099999999999998</v>
      </c>
      <c r="X2061">
        <v>1.47</v>
      </c>
      <c r="Y2061">
        <v>1.78</v>
      </c>
      <c r="Z2061">
        <v>1.65</v>
      </c>
      <c r="AA2061">
        <v>1.1399999999999999</v>
      </c>
      <c r="AB2061">
        <v>5.61</v>
      </c>
      <c r="AC2061">
        <v>3.6</v>
      </c>
      <c r="AD2061">
        <v>4.84</v>
      </c>
      <c r="AE2061">
        <v>5.96</v>
      </c>
      <c r="AF2061">
        <v>3.8</v>
      </c>
      <c r="AG2061" t="str">
        <f>HYPERLINK("https://finance.naver.com/item/fchart.naver?code=460860", "동국제강 차트보기")</f>
        <v>동국제강 차트보기</v>
      </c>
    </row>
    <row r="2062" spans="1:33" x14ac:dyDescent="0.3">
      <c r="A2062" t="s">
        <v>8275</v>
      </c>
      <c r="B2062" t="s">
        <v>55</v>
      </c>
      <c r="C2062" t="s">
        <v>8276</v>
      </c>
      <c r="D2062">
        <v>91259.520000000004</v>
      </c>
      <c r="E2062" t="s">
        <v>8277</v>
      </c>
      <c r="F2062">
        <v>7.89</v>
      </c>
      <c r="G2062">
        <v>0.51999998092651367</v>
      </c>
      <c r="H2062">
        <v>107</v>
      </c>
      <c r="I2062">
        <v>0</v>
      </c>
      <c r="J2062" t="s">
        <v>8278</v>
      </c>
      <c r="K2062">
        <v>1015</v>
      </c>
      <c r="L2062">
        <v>844</v>
      </c>
      <c r="M2062">
        <v>-16.850000000000001</v>
      </c>
      <c r="N2062">
        <v>-5.8</v>
      </c>
      <c r="O2062">
        <v>3.48</v>
      </c>
      <c r="P2062">
        <v>-3.73</v>
      </c>
      <c r="Q2062">
        <v>-4.74</v>
      </c>
      <c r="R2062">
        <v>-12.95</v>
      </c>
      <c r="S2062">
        <v>-8.02</v>
      </c>
      <c r="T2062">
        <v>2.42</v>
      </c>
      <c r="U2062">
        <v>1.45</v>
      </c>
      <c r="V2062">
        <v>2.4</v>
      </c>
      <c r="W2062">
        <v>4.91</v>
      </c>
      <c r="X2062">
        <v>1.75</v>
      </c>
      <c r="Y2062">
        <v>0.99</v>
      </c>
      <c r="Z2062">
        <v>2.4</v>
      </c>
      <c r="AA2062">
        <v>2.4</v>
      </c>
      <c r="AB2062">
        <v>1.55</v>
      </c>
      <c r="AC2062">
        <v>0.97</v>
      </c>
      <c r="AD2062">
        <v>7.4</v>
      </c>
      <c r="AE2062">
        <v>8.1</v>
      </c>
      <c r="AF2062">
        <v>3.8033333333333328</v>
      </c>
      <c r="AG2062" t="str">
        <f>HYPERLINK("https://finance.naver.com/item/fchart.naver?code=153490", "우리이앤엘 차트보기")</f>
        <v>우리이앤엘 차트보기</v>
      </c>
    </row>
    <row r="2063" spans="1:33" x14ac:dyDescent="0.3">
      <c r="A2063" t="s">
        <v>8279</v>
      </c>
      <c r="B2063" t="s">
        <v>55</v>
      </c>
      <c r="C2063" t="s">
        <v>8280</v>
      </c>
      <c r="D2063">
        <v>90818.76</v>
      </c>
      <c r="E2063" t="s">
        <v>8281</v>
      </c>
      <c r="F2063">
        <v>18.739999999999998</v>
      </c>
      <c r="G2063">
        <v>0.99000000953674316</v>
      </c>
      <c r="H2063">
        <v>80</v>
      </c>
      <c r="I2063">
        <v>0</v>
      </c>
      <c r="J2063" t="s">
        <v>8282</v>
      </c>
      <c r="K2063">
        <v>2520</v>
      </c>
      <c r="L2063">
        <v>1499</v>
      </c>
      <c r="M2063">
        <v>-40.520000000000003</v>
      </c>
      <c r="N2063">
        <v>-7.41</v>
      </c>
      <c r="O2063">
        <v>-6.94</v>
      </c>
      <c r="P2063">
        <v>-3.67</v>
      </c>
      <c r="Q2063">
        <v>-12.58</v>
      </c>
      <c r="R2063">
        <v>-2.56</v>
      </c>
      <c r="S2063">
        <v>-12.09</v>
      </c>
      <c r="T2063">
        <v>1.81</v>
      </c>
      <c r="U2063">
        <v>1.42</v>
      </c>
      <c r="V2063">
        <v>2.59</v>
      </c>
      <c r="W2063">
        <v>4.5999999999999996</v>
      </c>
      <c r="X2063">
        <v>1.81</v>
      </c>
      <c r="Y2063">
        <v>1.46</v>
      </c>
      <c r="Z2063">
        <v>4.09</v>
      </c>
      <c r="AA2063">
        <v>4.8899999999999997</v>
      </c>
      <c r="AB2063">
        <v>1.42</v>
      </c>
      <c r="AC2063">
        <v>2.73</v>
      </c>
      <c r="AD2063">
        <v>1.41</v>
      </c>
      <c r="AE2063">
        <v>8.2799999999999994</v>
      </c>
      <c r="AF2063">
        <v>3.8033333333333328</v>
      </c>
      <c r="AG2063" t="str">
        <f>HYPERLINK("https://finance.naver.com/item/fchart.naver?code=067000", "조이시티 차트보기")</f>
        <v>조이시티 차트보기</v>
      </c>
    </row>
    <row r="2064" spans="1:33" x14ac:dyDescent="0.3">
      <c r="A2064" t="s">
        <v>8283</v>
      </c>
      <c r="B2064" t="s">
        <v>55</v>
      </c>
      <c r="C2064" t="s">
        <v>8284</v>
      </c>
      <c r="D2064">
        <v>164935.04999999999</v>
      </c>
      <c r="E2064" t="s">
        <v>8285</v>
      </c>
      <c r="F2064">
        <v>0</v>
      </c>
      <c r="G2064">
        <v>5.9499998092651367</v>
      </c>
      <c r="H2064">
        <v>0</v>
      </c>
      <c r="I2064">
        <v>0</v>
      </c>
      <c r="J2064" t="s">
        <v>8286</v>
      </c>
      <c r="K2064">
        <v>3423</v>
      </c>
      <c r="L2064">
        <v>3960</v>
      </c>
      <c r="M2064">
        <v>15.69</v>
      </c>
      <c r="N2064">
        <v>-13.91</v>
      </c>
      <c r="O2064">
        <v>40.549999999999997</v>
      </c>
      <c r="P2064">
        <v>-11.29</v>
      </c>
      <c r="Q2064">
        <v>-23.42</v>
      </c>
      <c r="R2064">
        <v>-1.29</v>
      </c>
      <c r="S2064">
        <v>11.38</v>
      </c>
      <c r="T2064">
        <v>2.63</v>
      </c>
      <c r="U2064">
        <v>8.14</v>
      </c>
      <c r="V2064">
        <v>9.35</v>
      </c>
      <c r="W2064">
        <v>2.67</v>
      </c>
      <c r="X2064">
        <v>6.44</v>
      </c>
      <c r="Y2064">
        <v>4.76</v>
      </c>
      <c r="Z2064">
        <v>5.29</v>
      </c>
      <c r="AA2064">
        <v>4.9800000000000004</v>
      </c>
      <c r="AB2064">
        <v>1.21</v>
      </c>
      <c r="AC2064">
        <v>8.77</v>
      </c>
      <c r="AD2064">
        <v>0.2</v>
      </c>
      <c r="AE2064">
        <v>2.39</v>
      </c>
      <c r="AF2064">
        <v>3.8066666666666671</v>
      </c>
      <c r="AG2064" t="str">
        <f>HYPERLINK("https://finance.naver.com/item/fchart.naver?code=106080", "하이소닉 차트보기")</f>
        <v>하이소닉 차트보기</v>
      </c>
    </row>
    <row r="2065" spans="1:33" x14ac:dyDescent="0.3">
      <c r="A2065" t="s">
        <v>8287</v>
      </c>
      <c r="B2065" t="s">
        <v>34</v>
      </c>
      <c r="C2065" t="s">
        <v>8288</v>
      </c>
      <c r="D2065">
        <v>276706.52</v>
      </c>
      <c r="E2065" t="s">
        <v>8289</v>
      </c>
      <c r="F2065">
        <v>0</v>
      </c>
      <c r="G2065">
        <v>1.5399999618530269</v>
      </c>
      <c r="H2065">
        <v>0</v>
      </c>
      <c r="I2065">
        <v>0</v>
      </c>
      <c r="J2065" t="s">
        <v>8290</v>
      </c>
      <c r="K2065">
        <v>4353</v>
      </c>
      <c r="L2065">
        <v>2330</v>
      </c>
      <c r="M2065">
        <v>-46.47</v>
      </c>
      <c r="N2065">
        <v>-12.73</v>
      </c>
      <c r="O2065">
        <v>3.32</v>
      </c>
      <c r="P2065">
        <v>-10.07</v>
      </c>
      <c r="Q2065">
        <v>8.17</v>
      </c>
      <c r="R2065">
        <v>40.270000000000003</v>
      </c>
      <c r="S2065">
        <v>-44.45</v>
      </c>
      <c r="T2065">
        <v>2.74</v>
      </c>
      <c r="U2065">
        <v>8.32</v>
      </c>
      <c r="V2065">
        <v>4.46</v>
      </c>
      <c r="W2065">
        <v>5.8</v>
      </c>
      <c r="X2065">
        <v>4.9000000000000004</v>
      </c>
      <c r="Y2065">
        <v>7.53</v>
      </c>
      <c r="Z2065">
        <v>4.6500000000000004</v>
      </c>
      <c r="AA2065">
        <v>0.4</v>
      </c>
      <c r="AB2065">
        <v>2.2599999999999998</v>
      </c>
      <c r="AC2065">
        <v>1.41</v>
      </c>
      <c r="AD2065">
        <v>8.2200000000000006</v>
      </c>
      <c r="AE2065">
        <v>5.9</v>
      </c>
      <c r="AF2065">
        <v>3.8066666666666671</v>
      </c>
      <c r="AG2065" t="str">
        <f>HYPERLINK("https://finance.naver.com/item/fchart.naver?code=145210", "다이나믹디자인 차트보기")</f>
        <v>다이나믹디자인 차트보기</v>
      </c>
    </row>
    <row r="2066" spans="1:33" x14ac:dyDescent="0.3">
      <c r="A2066" t="s">
        <v>8291</v>
      </c>
      <c r="B2066" t="s">
        <v>34</v>
      </c>
      <c r="C2066" t="s">
        <v>8292</v>
      </c>
      <c r="D2066">
        <v>699943.9</v>
      </c>
      <c r="E2066" t="s">
        <v>8293</v>
      </c>
      <c r="F2066">
        <v>1276.47</v>
      </c>
      <c r="G2066">
        <v>9.369999885559082</v>
      </c>
      <c r="H2066">
        <v>85</v>
      </c>
      <c r="I2066">
        <v>0</v>
      </c>
      <c r="J2066" t="s">
        <v>8294</v>
      </c>
      <c r="K2066">
        <v>96900</v>
      </c>
      <c r="L2066">
        <v>108500</v>
      </c>
      <c r="M2066">
        <v>11.97</v>
      </c>
      <c r="N2066">
        <v>-3.21</v>
      </c>
      <c r="O2066">
        <v>-16.420000000000002</v>
      </c>
      <c r="P2066">
        <v>42</v>
      </c>
      <c r="Q2066">
        <v>5.09</v>
      </c>
      <c r="R2066">
        <v>-16.670000000000002</v>
      </c>
      <c r="S2066">
        <v>14.77</v>
      </c>
      <c r="T2066">
        <v>6.05</v>
      </c>
      <c r="U2066">
        <v>3.5</v>
      </c>
      <c r="V2066">
        <v>3.75</v>
      </c>
      <c r="W2066">
        <v>5.7</v>
      </c>
      <c r="X2066">
        <v>4.22</v>
      </c>
      <c r="Y2066">
        <v>9.2100000000000009</v>
      </c>
      <c r="Z2066">
        <v>0.53</v>
      </c>
      <c r="AA2066">
        <v>4.6900000000000004</v>
      </c>
      <c r="AB2066">
        <v>11.2</v>
      </c>
      <c r="AC2066">
        <v>0.89</v>
      </c>
      <c r="AD2066">
        <v>3.95</v>
      </c>
      <c r="AE2066">
        <v>1.6</v>
      </c>
      <c r="AF2066">
        <v>3.81</v>
      </c>
      <c r="AG2066" t="str">
        <f>HYPERLINK("https://finance.naver.com/item/fchart.naver?code=450080", "에코프로머티 차트보기")</f>
        <v>에코프로머티 차트보기</v>
      </c>
    </row>
    <row r="2067" spans="1:33" x14ac:dyDescent="0.3">
      <c r="A2067" t="s">
        <v>8295</v>
      </c>
      <c r="B2067" t="s">
        <v>55</v>
      </c>
      <c r="C2067" t="s">
        <v>8296</v>
      </c>
      <c r="D2067">
        <v>1409585.57</v>
      </c>
      <c r="E2067" t="s">
        <v>8297</v>
      </c>
      <c r="F2067">
        <v>0</v>
      </c>
      <c r="G2067">
        <v>64.730003356933594</v>
      </c>
      <c r="H2067">
        <v>0</v>
      </c>
      <c r="I2067">
        <v>0</v>
      </c>
      <c r="J2067" t="s">
        <v>8298</v>
      </c>
      <c r="K2067">
        <v>29752</v>
      </c>
      <c r="L2067">
        <v>110300</v>
      </c>
      <c r="M2067">
        <v>270.73</v>
      </c>
      <c r="N2067">
        <v>31.47</v>
      </c>
      <c r="O2067">
        <v>73.290000000000006</v>
      </c>
      <c r="P2067">
        <v>3.32</v>
      </c>
      <c r="Q2067">
        <v>-24.47</v>
      </c>
      <c r="R2067">
        <v>13.21</v>
      </c>
      <c r="S2067">
        <v>32.49</v>
      </c>
      <c r="T2067">
        <v>8.2799999999999994</v>
      </c>
      <c r="U2067">
        <v>9.1199999999999992</v>
      </c>
      <c r="V2067">
        <v>5.72</v>
      </c>
      <c r="W2067">
        <v>6.59</v>
      </c>
      <c r="X2067">
        <v>8.3699999999999992</v>
      </c>
      <c r="Y2067">
        <v>6.28</v>
      </c>
      <c r="Z2067">
        <v>3.8</v>
      </c>
      <c r="AA2067">
        <v>8.0399999999999991</v>
      </c>
      <c r="AB2067">
        <v>0.57999999999999996</v>
      </c>
      <c r="AC2067">
        <v>3.71</v>
      </c>
      <c r="AD2067">
        <v>1.58</v>
      </c>
      <c r="AE2067">
        <v>5.17</v>
      </c>
      <c r="AF2067">
        <v>3.8133333333333339</v>
      </c>
      <c r="AG2067" t="str">
        <f>HYPERLINK("https://finance.naver.com/item/fchart.naver?code=087010", "펩트론 차트보기")</f>
        <v>펩트론 차트보기</v>
      </c>
    </row>
    <row r="2068" spans="1:33" x14ac:dyDescent="0.3">
      <c r="A2068" t="s">
        <v>8299</v>
      </c>
      <c r="B2068" t="s">
        <v>34</v>
      </c>
      <c r="C2068" t="s">
        <v>8300</v>
      </c>
      <c r="D2068">
        <v>52790.48</v>
      </c>
      <c r="E2068" t="s">
        <v>8301</v>
      </c>
      <c r="F2068">
        <v>5.37</v>
      </c>
      <c r="G2068">
        <v>0.60000002384185791</v>
      </c>
      <c r="H2068">
        <v>145</v>
      </c>
      <c r="I2068">
        <v>2.5699999332427979</v>
      </c>
      <c r="J2068" t="s">
        <v>8302</v>
      </c>
      <c r="K2068">
        <v>895</v>
      </c>
      <c r="L2068">
        <v>778</v>
      </c>
      <c r="M2068">
        <v>-13.07</v>
      </c>
      <c r="N2068">
        <v>1.17</v>
      </c>
      <c r="O2068">
        <v>-0.51</v>
      </c>
      <c r="P2068">
        <v>-4.03</v>
      </c>
      <c r="Q2068">
        <v>-4.2699999999999996</v>
      </c>
      <c r="R2068">
        <v>-5.57</v>
      </c>
      <c r="S2068">
        <v>-6.91</v>
      </c>
      <c r="T2068">
        <v>1.89</v>
      </c>
      <c r="U2068">
        <v>0.56999999999999995</v>
      </c>
      <c r="V2068">
        <v>0.82</v>
      </c>
      <c r="W2068">
        <v>1.82</v>
      </c>
      <c r="X2068">
        <v>0.57999999999999996</v>
      </c>
      <c r="Y2068">
        <v>1.53</v>
      </c>
      <c r="Z2068">
        <v>0.62</v>
      </c>
      <c r="AA2068">
        <v>0.89</v>
      </c>
      <c r="AB2068">
        <v>4.91</v>
      </c>
      <c r="AC2068">
        <v>2.35</v>
      </c>
      <c r="AD2068">
        <v>9.6</v>
      </c>
      <c r="AE2068">
        <v>4.5199999999999996</v>
      </c>
      <c r="AF2068">
        <v>3.8149999999999999</v>
      </c>
      <c r="AG2068" t="str">
        <f>HYPERLINK("https://finance.naver.com/item/fchart.naver?code=012280", "영화금속 차트보기")</f>
        <v>영화금속 차트보기</v>
      </c>
    </row>
    <row r="2069" spans="1:33" x14ac:dyDescent="0.3">
      <c r="A2069" t="s">
        <v>8303</v>
      </c>
      <c r="B2069" t="s">
        <v>34</v>
      </c>
      <c r="C2069" t="s">
        <v>8304</v>
      </c>
      <c r="D2069">
        <v>43202.81</v>
      </c>
      <c r="E2069" t="s">
        <v>8305</v>
      </c>
      <c r="F2069">
        <v>12.71</v>
      </c>
      <c r="G2069">
        <v>0.17000000178813929</v>
      </c>
      <c r="H2069">
        <v>177</v>
      </c>
      <c r="I2069">
        <v>4.440000057220459</v>
      </c>
      <c r="J2069" t="s">
        <v>8306</v>
      </c>
      <c r="K2069">
        <v>2810</v>
      </c>
      <c r="L2069">
        <v>2250</v>
      </c>
      <c r="M2069">
        <v>-19.93</v>
      </c>
      <c r="N2069">
        <v>-1.53</v>
      </c>
      <c r="O2069">
        <v>-1.28</v>
      </c>
      <c r="P2069">
        <v>-7.31</v>
      </c>
      <c r="Q2069">
        <v>-5.6</v>
      </c>
      <c r="R2069">
        <v>-1.3</v>
      </c>
      <c r="S2069">
        <v>-0.37</v>
      </c>
      <c r="T2069">
        <v>0.59</v>
      </c>
      <c r="U2069">
        <v>0.55000000000000004</v>
      </c>
      <c r="V2069">
        <v>0.82</v>
      </c>
      <c r="W2069">
        <v>1.1299999999999999</v>
      </c>
      <c r="X2069">
        <v>0.39</v>
      </c>
      <c r="Y2069">
        <v>0.48</v>
      </c>
      <c r="Z2069">
        <v>2.59</v>
      </c>
      <c r="AA2069">
        <v>2.33</v>
      </c>
      <c r="AB2069">
        <v>8.91</v>
      </c>
      <c r="AC2069">
        <v>4.96</v>
      </c>
      <c r="AD2069">
        <v>3.33</v>
      </c>
      <c r="AE2069">
        <v>0.77</v>
      </c>
      <c r="AF2069">
        <v>3.8149999999999999</v>
      </c>
      <c r="AG2069" t="str">
        <f>HYPERLINK("https://finance.naver.com/item/fchart.naver?code=004150", "한솔홀딩스 차트보기")</f>
        <v>한솔홀딩스 차트보기</v>
      </c>
    </row>
    <row r="2070" spans="1:33" x14ac:dyDescent="0.3">
      <c r="A2070" t="s">
        <v>8307</v>
      </c>
      <c r="B2070" t="s">
        <v>55</v>
      </c>
      <c r="C2070" t="s">
        <v>8308</v>
      </c>
      <c r="D2070">
        <v>13139.67</v>
      </c>
      <c r="E2070" t="s">
        <v>8309</v>
      </c>
      <c r="F2070">
        <v>0</v>
      </c>
      <c r="G2070">
        <v>1.169999957084656</v>
      </c>
      <c r="H2070">
        <v>0</v>
      </c>
      <c r="I2070">
        <v>0</v>
      </c>
      <c r="J2070" t="s">
        <v>8310</v>
      </c>
      <c r="K2070">
        <v>9630</v>
      </c>
      <c r="L2070">
        <v>6120</v>
      </c>
      <c r="M2070">
        <v>-36.450000000000003</v>
      </c>
      <c r="N2070">
        <v>-3.32</v>
      </c>
      <c r="O2070">
        <v>-14.38</v>
      </c>
      <c r="P2070">
        <v>-2.76</v>
      </c>
      <c r="Q2070">
        <v>14.94</v>
      </c>
      <c r="R2070">
        <v>-14.61</v>
      </c>
      <c r="S2070">
        <v>-11.06</v>
      </c>
      <c r="T2070">
        <v>2.77</v>
      </c>
      <c r="U2070">
        <v>2.5</v>
      </c>
      <c r="V2070">
        <v>7.6</v>
      </c>
      <c r="W2070">
        <v>7.93</v>
      </c>
      <c r="X2070">
        <v>3.37</v>
      </c>
      <c r="Y2070">
        <v>1.18</v>
      </c>
      <c r="Z2070">
        <v>1.2</v>
      </c>
      <c r="AA2070">
        <v>5.75</v>
      </c>
      <c r="AB2070">
        <v>0.36</v>
      </c>
      <c r="AC2070">
        <v>1.88</v>
      </c>
      <c r="AD2070">
        <v>4.34</v>
      </c>
      <c r="AE2070">
        <v>9.3699999999999992</v>
      </c>
      <c r="AF2070">
        <v>3.816666666666666</v>
      </c>
      <c r="AG2070" t="str">
        <f>HYPERLINK("https://finance.naver.com/item/fchart.naver?code=290560", "신시웨이 차트보기")</f>
        <v>신시웨이 차트보기</v>
      </c>
    </row>
    <row r="2071" spans="1:33" x14ac:dyDescent="0.3">
      <c r="A2071" t="s">
        <v>8311</v>
      </c>
      <c r="B2071" t="s">
        <v>55</v>
      </c>
      <c r="C2071" t="s">
        <v>8312</v>
      </c>
      <c r="D2071">
        <v>78868.62</v>
      </c>
      <c r="E2071" t="s">
        <v>8313</v>
      </c>
      <c r="F2071">
        <v>0</v>
      </c>
      <c r="G2071">
        <v>0.86000001430511475</v>
      </c>
      <c r="H2071">
        <v>0</v>
      </c>
      <c r="I2071">
        <v>0.33000001311302191</v>
      </c>
      <c r="J2071" t="s">
        <v>8314</v>
      </c>
      <c r="K2071">
        <v>36300</v>
      </c>
      <c r="L2071">
        <v>30650</v>
      </c>
      <c r="M2071">
        <v>-15.56</v>
      </c>
      <c r="N2071">
        <v>-9.19</v>
      </c>
      <c r="O2071">
        <v>10.79</v>
      </c>
      <c r="P2071">
        <v>-6.61</v>
      </c>
      <c r="Q2071">
        <v>9.02</v>
      </c>
      <c r="R2071">
        <v>6.79</v>
      </c>
      <c r="S2071">
        <v>-18.850000000000001</v>
      </c>
      <c r="T2071">
        <v>3.78</v>
      </c>
      <c r="U2071">
        <v>3.08</v>
      </c>
      <c r="V2071">
        <v>3.33</v>
      </c>
      <c r="W2071">
        <v>3.67</v>
      </c>
      <c r="X2071">
        <v>2.36</v>
      </c>
      <c r="Y2071">
        <v>1.95</v>
      </c>
      <c r="Z2071">
        <v>2.4300000000000002</v>
      </c>
      <c r="AA2071">
        <v>3.5</v>
      </c>
      <c r="AB2071">
        <v>1.98</v>
      </c>
      <c r="AC2071">
        <v>2.46</v>
      </c>
      <c r="AD2071">
        <v>2.88</v>
      </c>
      <c r="AE2071">
        <v>9.67</v>
      </c>
      <c r="AF2071">
        <v>3.82</v>
      </c>
      <c r="AG2071" t="str">
        <f>HYPERLINK("https://finance.naver.com/item/fchart.naver?code=144510", "지씨셀 차트보기")</f>
        <v>지씨셀 차트보기</v>
      </c>
    </row>
    <row r="2072" spans="1:33" x14ac:dyDescent="0.3">
      <c r="A2072" t="s">
        <v>8315</v>
      </c>
      <c r="B2072" t="s">
        <v>55</v>
      </c>
      <c r="C2072" t="s">
        <v>8316</v>
      </c>
      <c r="D2072">
        <v>137404</v>
      </c>
      <c r="E2072" t="s">
        <v>8317</v>
      </c>
      <c r="F2072">
        <v>8.93</v>
      </c>
      <c r="G2072">
        <v>1.299999952316284</v>
      </c>
      <c r="H2072">
        <v>1520</v>
      </c>
      <c r="I2072">
        <v>5.5300002098083496</v>
      </c>
      <c r="J2072" t="s">
        <v>8318</v>
      </c>
      <c r="K2072">
        <v>13416</v>
      </c>
      <c r="L2072">
        <v>13570</v>
      </c>
      <c r="M2072">
        <v>1.1499999999999999</v>
      </c>
      <c r="N2072">
        <v>2.8</v>
      </c>
      <c r="O2072">
        <v>0.12</v>
      </c>
      <c r="P2072">
        <v>20.27</v>
      </c>
      <c r="Q2072">
        <v>-15.4</v>
      </c>
      <c r="R2072">
        <v>-12.76</v>
      </c>
      <c r="S2072">
        <v>3.68</v>
      </c>
      <c r="T2072">
        <v>3.76</v>
      </c>
      <c r="U2072">
        <v>2.5</v>
      </c>
      <c r="V2072">
        <v>3.25</v>
      </c>
      <c r="W2072">
        <v>2.21</v>
      </c>
      <c r="X2072">
        <v>1.69</v>
      </c>
      <c r="Y2072">
        <v>2.69</v>
      </c>
      <c r="Z2072">
        <v>0.74</v>
      </c>
      <c r="AA2072">
        <v>0.05</v>
      </c>
      <c r="AB2072">
        <v>6.24</v>
      </c>
      <c r="AC2072">
        <v>6.97</v>
      </c>
      <c r="AD2072">
        <v>7.55</v>
      </c>
      <c r="AE2072">
        <v>1.37</v>
      </c>
      <c r="AF2072">
        <v>3.82</v>
      </c>
      <c r="AG2072" t="str">
        <f>HYPERLINK("https://finance.naver.com/item/fchart.naver?code=092730", "네오팜 차트보기")</f>
        <v>네오팜 차트보기</v>
      </c>
    </row>
    <row r="2073" spans="1:33" x14ac:dyDescent="0.3">
      <c r="A2073" t="s">
        <v>8319</v>
      </c>
      <c r="B2073" t="s">
        <v>34</v>
      </c>
      <c r="C2073" t="s">
        <v>8320</v>
      </c>
      <c r="D2073">
        <v>153547.19</v>
      </c>
      <c r="E2073" t="s">
        <v>8321</v>
      </c>
      <c r="F2073">
        <v>0</v>
      </c>
      <c r="G2073">
        <v>2.559999942779541</v>
      </c>
      <c r="H2073">
        <v>0</v>
      </c>
      <c r="I2073">
        <v>0.85000002384185791</v>
      </c>
      <c r="J2073" t="s">
        <v>8322</v>
      </c>
      <c r="K2073">
        <v>174700</v>
      </c>
      <c r="L2073">
        <v>234000</v>
      </c>
      <c r="M2073">
        <v>33.94</v>
      </c>
      <c r="N2073">
        <v>22.32</v>
      </c>
      <c r="O2073">
        <v>20.78</v>
      </c>
      <c r="P2073">
        <v>17.059999999999999</v>
      </c>
      <c r="Q2073">
        <v>-10.69</v>
      </c>
      <c r="R2073">
        <v>-15.87</v>
      </c>
      <c r="S2073">
        <v>8.5</v>
      </c>
      <c r="T2073">
        <v>4.7699999999999996</v>
      </c>
      <c r="U2073">
        <v>3.21</v>
      </c>
      <c r="V2073">
        <v>3.85</v>
      </c>
      <c r="W2073">
        <v>5.0199999999999996</v>
      </c>
      <c r="X2073">
        <v>4.79</v>
      </c>
      <c r="Y2073">
        <v>4.45</v>
      </c>
      <c r="Z2073">
        <v>4.68</v>
      </c>
      <c r="AA2073">
        <v>6.47</v>
      </c>
      <c r="AB2073">
        <v>4.43</v>
      </c>
      <c r="AC2073">
        <v>2.13</v>
      </c>
      <c r="AD2073">
        <v>3.31</v>
      </c>
      <c r="AE2073">
        <v>1.91</v>
      </c>
      <c r="AF2073">
        <v>3.8216666666666659</v>
      </c>
      <c r="AG2073" t="str">
        <f>HYPERLINK("https://finance.naver.com/item/fchart.naver?code=000150", "두산 차트보기")</f>
        <v>두산 차트보기</v>
      </c>
    </row>
    <row r="2074" spans="1:33" x14ac:dyDescent="0.3">
      <c r="A2074" t="s">
        <v>8323</v>
      </c>
      <c r="B2074" t="s">
        <v>34</v>
      </c>
      <c r="C2074" t="s">
        <v>8324</v>
      </c>
      <c r="D2074">
        <v>119093.48</v>
      </c>
      <c r="E2074" t="s">
        <v>8325</v>
      </c>
      <c r="F2074">
        <v>0</v>
      </c>
      <c r="G2074">
        <v>0.2099999934434891</v>
      </c>
      <c r="H2074">
        <v>0</v>
      </c>
      <c r="I2074">
        <v>4.4200000762939453</v>
      </c>
      <c r="J2074" t="s">
        <v>8326</v>
      </c>
      <c r="K2074">
        <v>114100</v>
      </c>
      <c r="L2074">
        <v>79100</v>
      </c>
      <c r="M2074">
        <v>-30.67</v>
      </c>
      <c r="N2074">
        <v>-15.04</v>
      </c>
      <c r="O2074">
        <v>-4.12</v>
      </c>
      <c r="P2074">
        <v>23.03</v>
      </c>
      <c r="Q2074">
        <v>-19.16</v>
      </c>
      <c r="R2074">
        <v>-10.11</v>
      </c>
      <c r="S2074">
        <v>4.37</v>
      </c>
      <c r="T2074">
        <v>5.71</v>
      </c>
      <c r="U2074">
        <v>2.85</v>
      </c>
      <c r="V2074">
        <v>4.1399999999999997</v>
      </c>
      <c r="W2074">
        <v>3.79</v>
      </c>
      <c r="X2074">
        <v>1.43</v>
      </c>
      <c r="Y2074">
        <v>3.72</v>
      </c>
      <c r="Z2074">
        <v>2.63</v>
      </c>
      <c r="AA2074">
        <v>1.45</v>
      </c>
      <c r="AB2074">
        <v>5.56</v>
      </c>
      <c r="AC2074">
        <v>5.0599999999999996</v>
      </c>
      <c r="AD2074">
        <v>7.07</v>
      </c>
      <c r="AE2074">
        <v>1.17</v>
      </c>
      <c r="AF2074">
        <v>3.8233333333333328</v>
      </c>
      <c r="AG2074" t="str">
        <f>HYPERLINK("https://finance.naver.com/item/fchart.naver?code=011170", "롯데케미칼 차트보기")</f>
        <v>롯데케미칼 차트보기</v>
      </c>
    </row>
    <row r="2075" spans="1:33" x14ac:dyDescent="0.3">
      <c r="A2075" t="s">
        <v>8327</v>
      </c>
      <c r="B2075" t="s">
        <v>55</v>
      </c>
      <c r="C2075" t="s">
        <v>8328</v>
      </c>
      <c r="D2075">
        <v>971666.52</v>
      </c>
      <c r="E2075" t="s">
        <v>8329</v>
      </c>
      <c r="F2075">
        <v>0</v>
      </c>
      <c r="G2075">
        <v>0.43999999761581421</v>
      </c>
      <c r="H2075">
        <v>0</v>
      </c>
      <c r="I2075">
        <v>0</v>
      </c>
      <c r="J2075" t="s">
        <v>8330</v>
      </c>
      <c r="K2075">
        <v>2100</v>
      </c>
      <c r="L2075">
        <v>1190</v>
      </c>
      <c r="M2075">
        <v>-43.33</v>
      </c>
      <c r="N2075">
        <v>26.87</v>
      </c>
      <c r="O2075">
        <v>-4.5</v>
      </c>
      <c r="P2075">
        <v>-7.33</v>
      </c>
      <c r="Q2075">
        <v>20.53</v>
      </c>
      <c r="R2075">
        <v>-40.33</v>
      </c>
      <c r="S2075">
        <v>-5.67</v>
      </c>
      <c r="T2075">
        <v>3.49</v>
      </c>
      <c r="U2075">
        <v>5.87</v>
      </c>
      <c r="V2075">
        <v>1.73</v>
      </c>
      <c r="W2075">
        <v>5.42</v>
      </c>
      <c r="X2075">
        <v>7.76</v>
      </c>
      <c r="Y2075">
        <v>4.58</v>
      </c>
      <c r="Z2075">
        <v>7.7</v>
      </c>
      <c r="AA2075">
        <v>0.77</v>
      </c>
      <c r="AB2075">
        <v>4.24</v>
      </c>
      <c r="AC2075">
        <v>3.79</v>
      </c>
      <c r="AD2075">
        <v>5.2</v>
      </c>
      <c r="AE2075">
        <v>1.24</v>
      </c>
      <c r="AF2075">
        <v>3.8233333333333328</v>
      </c>
      <c r="AG2075" t="str">
        <f>HYPERLINK("https://finance.naver.com/item/fchart.naver?code=060230", "소니드 차트보기")</f>
        <v>소니드 차트보기</v>
      </c>
    </row>
    <row r="2076" spans="1:33" x14ac:dyDescent="0.3">
      <c r="A2076" t="s">
        <v>8331</v>
      </c>
      <c r="B2076" t="s">
        <v>55</v>
      </c>
      <c r="C2076" t="s">
        <v>8332</v>
      </c>
      <c r="D2076">
        <v>2488531.19</v>
      </c>
      <c r="E2076" t="s">
        <v>8333</v>
      </c>
      <c r="F2076">
        <v>21.98</v>
      </c>
      <c r="G2076">
        <v>2.0199999809265141</v>
      </c>
      <c r="H2076">
        <v>486</v>
      </c>
      <c r="I2076">
        <v>1.120000004768372</v>
      </c>
      <c r="J2076" t="s">
        <v>8334</v>
      </c>
      <c r="K2076">
        <v>8740</v>
      </c>
      <c r="L2076">
        <v>10680</v>
      </c>
      <c r="M2076">
        <v>22.2</v>
      </c>
      <c r="N2076">
        <v>-1.57</v>
      </c>
      <c r="O2076">
        <v>7.25</v>
      </c>
      <c r="P2076">
        <v>63.18</v>
      </c>
      <c r="Q2076">
        <v>-12.08</v>
      </c>
      <c r="R2076">
        <v>-4.41</v>
      </c>
      <c r="S2076">
        <v>-10.77</v>
      </c>
      <c r="T2076">
        <v>4.84</v>
      </c>
      <c r="U2076">
        <v>6.14</v>
      </c>
      <c r="V2076">
        <v>9.8000000000000007</v>
      </c>
      <c r="W2076">
        <v>3.89</v>
      </c>
      <c r="X2076">
        <v>2.1</v>
      </c>
      <c r="Y2076">
        <v>1.1000000000000001</v>
      </c>
      <c r="Z2076">
        <v>0.32</v>
      </c>
      <c r="AA2076">
        <v>1.18</v>
      </c>
      <c r="AB2076">
        <v>6.45</v>
      </c>
      <c r="AC2076">
        <v>3.11</v>
      </c>
      <c r="AD2076">
        <v>2.1</v>
      </c>
      <c r="AE2076">
        <v>9.7899999999999991</v>
      </c>
      <c r="AF2076">
        <v>3.8250000000000002</v>
      </c>
      <c r="AG2076" t="str">
        <f>HYPERLINK("https://finance.naver.com/item/fchart.naver?code=163730", "핑거 차트보기")</f>
        <v>핑거 차트보기</v>
      </c>
    </row>
    <row r="2077" spans="1:33" x14ac:dyDescent="0.3">
      <c r="A2077" t="s">
        <v>8335</v>
      </c>
      <c r="B2077" t="s">
        <v>55</v>
      </c>
      <c r="C2077" t="s">
        <v>8336</v>
      </c>
      <c r="D2077">
        <v>31524.38</v>
      </c>
      <c r="E2077" t="s">
        <v>8337</v>
      </c>
      <c r="F2077">
        <v>20.74</v>
      </c>
      <c r="G2077">
        <v>1.570000052452087</v>
      </c>
      <c r="H2077">
        <v>760</v>
      </c>
      <c r="I2077">
        <v>0.62999999523162842</v>
      </c>
      <c r="J2077" t="s">
        <v>8338</v>
      </c>
      <c r="K2077">
        <v>13660</v>
      </c>
      <c r="L2077">
        <v>15760</v>
      </c>
      <c r="M2077">
        <v>15.37</v>
      </c>
      <c r="N2077">
        <v>-0.51</v>
      </c>
      <c r="O2077">
        <v>16.600000000000001</v>
      </c>
      <c r="P2077">
        <v>-14.17</v>
      </c>
      <c r="Q2077">
        <v>-19.61</v>
      </c>
      <c r="R2077">
        <v>7.31</v>
      </c>
      <c r="S2077">
        <v>8.26</v>
      </c>
      <c r="T2077">
        <v>2.2000000000000002</v>
      </c>
      <c r="U2077">
        <v>2.11</v>
      </c>
      <c r="V2077">
        <v>2.83</v>
      </c>
      <c r="W2077">
        <v>3.72</v>
      </c>
      <c r="X2077">
        <v>3.49</v>
      </c>
      <c r="Y2077">
        <v>3.33</v>
      </c>
      <c r="Z2077">
        <v>0.23</v>
      </c>
      <c r="AA2077">
        <v>7.87</v>
      </c>
      <c r="AB2077">
        <v>5.01</v>
      </c>
      <c r="AC2077">
        <v>5.27</v>
      </c>
      <c r="AD2077">
        <v>2.09</v>
      </c>
      <c r="AE2077">
        <v>2.48</v>
      </c>
      <c r="AF2077">
        <v>3.8250000000000002</v>
      </c>
      <c r="AG2077" t="str">
        <f>HYPERLINK("https://finance.naver.com/item/fchart.naver?code=106190", "하이텍팜 차트보기")</f>
        <v>하이텍팜 차트보기</v>
      </c>
    </row>
    <row r="2078" spans="1:33" x14ac:dyDescent="0.3">
      <c r="A2078" t="s">
        <v>8339</v>
      </c>
      <c r="B2078" t="s">
        <v>55</v>
      </c>
      <c r="C2078" t="s">
        <v>8340</v>
      </c>
      <c r="D2078">
        <v>100066.76</v>
      </c>
      <c r="E2078" t="s">
        <v>8341</v>
      </c>
      <c r="F2078">
        <v>0</v>
      </c>
      <c r="G2078">
        <v>0.56999999284744263</v>
      </c>
      <c r="H2078">
        <v>0</v>
      </c>
      <c r="I2078">
        <v>0</v>
      </c>
      <c r="J2078" t="s">
        <v>8342</v>
      </c>
      <c r="K2078">
        <v>1998</v>
      </c>
      <c r="L2078">
        <v>2325</v>
      </c>
      <c r="M2078">
        <v>16.37</v>
      </c>
      <c r="N2078">
        <v>-4.91</v>
      </c>
      <c r="O2078">
        <v>-20.87</v>
      </c>
      <c r="P2078">
        <v>-20.079999999999998</v>
      </c>
      <c r="Q2078">
        <v>-30.05</v>
      </c>
      <c r="R2078">
        <v>63.06</v>
      </c>
      <c r="S2078">
        <v>18.239999999999998</v>
      </c>
      <c r="T2078">
        <v>2.73</v>
      </c>
      <c r="U2078">
        <v>4.75</v>
      </c>
      <c r="V2078">
        <v>9.34</v>
      </c>
      <c r="W2078">
        <v>4.7699999999999996</v>
      </c>
      <c r="X2078">
        <v>11.74</v>
      </c>
      <c r="Y2078">
        <v>6.15</v>
      </c>
      <c r="Z2078">
        <v>1.8</v>
      </c>
      <c r="AA2078">
        <v>4.3899999999999997</v>
      </c>
      <c r="AB2078">
        <v>2.15</v>
      </c>
      <c r="AC2078">
        <v>6.3</v>
      </c>
      <c r="AD2078">
        <v>5.37</v>
      </c>
      <c r="AE2078">
        <v>2.97</v>
      </c>
      <c r="AF2078">
        <v>3.83</v>
      </c>
      <c r="AG2078" t="str">
        <f>HYPERLINK("https://finance.naver.com/item/fchart.naver?code=192410", "휴림네트웍스 차트보기")</f>
        <v>휴림네트웍스 차트보기</v>
      </c>
    </row>
    <row r="2079" spans="1:33" x14ac:dyDescent="0.3">
      <c r="A2079" t="s">
        <v>8343</v>
      </c>
      <c r="B2079" t="s">
        <v>55</v>
      </c>
      <c r="C2079" t="s">
        <v>8344</v>
      </c>
      <c r="D2079">
        <v>84669.43</v>
      </c>
      <c r="E2079" t="s">
        <v>8345</v>
      </c>
      <c r="F2079">
        <v>5.0199999999999996</v>
      </c>
      <c r="G2079">
        <v>0.97000002861022949</v>
      </c>
      <c r="H2079">
        <v>588</v>
      </c>
      <c r="I2079">
        <v>0</v>
      </c>
      <c r="J2079" t="s">
        <v>8346</v>
      </c>
      <c r="K2079">
        <v>5260</v>
      </c>
      <c r="L2079">
        <v>2950</v>
      </c>
      <c r="M2079">
        <v>-43.92</v>
      </c>
      <c r="N2079">
        <v>-8.1</v>
      </c>
      <c r="O2079">
        <v>-9.3699999999999992</v>
      </c>
      <c r="P2079">
        <v>-1.34</v>
      </c>
      <c r="Q2079">
        <v>-9.11</v>
      </c>
      <c r="R2079">
        <v>-21.29</v>
      </c>
      <c r="S2079">
        <v>-5.38</v>
      </c>
      <c r="T2079">
        <v>2.19</v>
      </c>
      <c r="U2079">
        <v>2.1</v>
      </c>
      <c r="V2079">
        <v>2.78</v>
      </c>
      <c r="W2079">
        <v>4.72</v>
      </c>
      <c r="X2079">
        <v>2.12</v>
      </c>
      <c r="Y2079">
        <v>2.2599999999999998</v>
      </c>
      <c r="Z2079">
        <v>3.7</v>
      </c>
      <c r="AA2079">
        <v>4.46</v>
      </c>
      <c r="AB2079">
        <v>0.48</v>
      </c>
      <c r="AC2079">
        <v>1.93</v>
      </c>
      <c r="AD2079">
        <v>10.039999999999999</v>
      </c>
      <c r="AE2079">
        <v>2.38</v>
      </c>
      <c r="AF2079">
        <v>3.831666666666667</v>
      </c>
      <c r="AG2079" t="str">
        <f>HYPERLINK("https://finance.naver.com/item/fchart.naver?code=382800", "지앤비에스 에코 차트보기")</f>
        <v>지앤비에스 에코 차트보기</v>
      </c>
    </row>
    <row r="2080" spans="1:33" x14ac:dyDescent="0.3">
      <c r="A2080" t="s">
        <v>8347</v>
      </c>
      <c r="B2080" t="s">
        <v>55</v>
      </c>
      <c r="C2080" t="s">
        <v>8348</v>
      </c>
      <c r="D2080">
        <v>390545.29</v>
      </c>
      <c r="E2080" t="s">
        <v>8349</v>
      </c>
      <c r="F2080">
        <v>11.36</v>
      </c>
      <c r="G2080">
        <v>0.87999999523162842</v>
      </c>
      <c r="H2080">
        <v>1402</v>
      </c>
      <c r="I2080">
        <v>0.93999999761581421</v>
      </c>
      <c r="J2080" t="s">
        <v>8350</v>
      </c>
      <c r="K2080">
        <v>11900</v>
      </c>
      <c r="L2080">
        <v>15930</v>
      </c>
      <c r="M2080">
        <v>33.869999999999997</v>
      </c>
      <c r="N2080">
        <v>25.33</v>
      </c>
      <c r="O2080">
        <v>-8.91</v>
      </c>
      <c r="P2080">
        <v>-13.1</v>
      </c>
      <c r="Q2080">
        <v>8.1199999999999992</v>
      </c>
      <c r="R2080">
        <v>21.99</v>
      </c>
      <c r="S2080">
        <v>0.96</v>
      </c>
      <c r="T2080">
        <v>4.04</v>
      </c>
      <c r="U2080">
        <v>1.69</v>
      </c>
      <c r="V2080">
        <v>3.04</v>
      </c>
      <c r="W2080">
        <v>5.09</v>
      </c>
      <c r="X2080">
        <v>4.21</v>
      </c>
      <c r="Y2080">
        <v>2.91</v>
      </c>
      <c r="Z2080">
        <v>6.27</v>
      </c>
      <c r="AA2080">
        <v>5.27</v>
      </c>
      <c r="AB2080">
        <v>4.3099999999999996</v>
      </c>
      <c r="AC2080">
        <v>1.6</v>
      </c>
      <c r="AD2080">
        <v>5.22</v>
      </c>
      <c r="AE2080">
        <v>0.33</v>
      </c>
      <c r="AF2080">
        <v>3.833333333333333</v>
      </c>
      <c r="AG2080" t="str">
        <f>HYPERLINK("https://finance.naver.com/item/fchart.naver?code=014620", "성광벤드 차트보기")</f>
        <v>성광벤드 차트보기</v>
      </c>
    </row>
    <row r="2081" spans="1:33" x14ac:dyDescent="0.3">
      <c r="A2081" t="s">
        <v>8351</v>
      </c>
      <c r="B2081" t="s">
        <v>34</v>
      </c>
      <c r="C2081" t="s">
        <v>8352</v>
      </c>
      <c r="D2081">
        <v>320442.57</v>
      </c>
      <c r="E2081" t="s">
        <v>8353</v>
      </c>
      <c r="F2081">
        <v>6.66</v>
      </c>
      <c r="G2081">
        <v>0.15999999642372131</v>
      </c>
      <c r="H2081">
        <v>3506</v>
      </c>
      <c r="I2081">
        <v>4.2800002098083496</v>
      </c>
      <c r="J2081" t="s">
        <v>8354</v>
      </c>
      <c r="K2081">
        <v>31950</v>
      </c>
      <c r="L2081">
        <v>23350</v>
      </c>
      <c r="M2081">
        <v>-26.92</v>
      </c>
      <c r="N2081">
        <v>-6.79</v>
      </c>
      <c r="O2081">
        <v>-9.14</v>
      </c>
      <c r="P2081">
        <v>8.56</v>
      </c>
      <c r="Q2081">
        <v>-8.6300000000000008</v>
      </c>
      <c r="R2081">
        <v>-5.63</v>
      </c>
      <c r="S2081">
        <v>-3.97</v>
      </c>
      <c r="T2081">
        <v>1.54</v>
      </c>
      <c r="U2081">
        <v>2.0299999999999998</v>
      </c>
      <c r="V2081">
        <v>2.4900000000000002</v>
      </c>
      <c r="W2081">
        <v>2.23</v>
      </c>
      <c r="X2081">
        <v>1.37</v>
      </c>
      <c r="Y2081">
        <v>1.48</v>
      </c>
      <c r="Z2081">
        <v>4.41</v>
      </c>
      <c r="AA2081">
        <v>4.5</v>
      </c>
      <c r="AB2081">
        <v>3.44</v>
      </c>
      <c r="AC2081">
        <v>3.87</v>
      </c>
      <c r="AD2081">
        <v>4.1100000000000003</v>
      </c>
      <c r="AE2081">
        <v>2.68</v>
      </c>
      <c r="AF2081">
        <v>3.835</v>
      </c>
      <c r="AG2081" t="str">
        <f>HYPERLINK("https://finance.naver.com/item/fchart.naver?code=004020", "현대제철 차트보기")</f>
        <v>현대제철 차트보기</v>
      </c>
    </row>
    <row r="2082" spans="1:33" x14ac:dyDescent="0.3">
      <c r="A2082" t="s">
        <v>8355</v>
      </c>
      <c r="B2082" t="s">
        <v>34</v>
      </c>
      <c r="C2082" t="s">
        <v>8356</v>
      </c>
      <c r="D2082">
        <v>4508885.71</v>
      </c>
      <c r="E2082" t="s">
        <v>8357</v>
      </c>
      <c r="F2082">
        <v>20.29</v>
      </c>
      <c r="G2082">
        <v>0.63999998569488525</v>
      </c>
      <c r="H2082">
        <v>137</v>
      </c>
      <c r="I2082">
        <v>0.89999997615814209</v>
      </c>
      <c r="J2082" t="s">
        <v>8358</v>
      </c>
      <c r="K2082">
        <v>3210</v>
      </c>
      <c r="L2082">
        <v>2780</v>
      </c>
      <c r="M2082">
        <v>-13.4</v>
      </c>
      <c r="N2082">
        <v>-6.87</v>
      </c>
      <c r="O2082">
        <v>-7.57</v>
      </c>
      <c r="P2082">
        <v>22.35</v>
      </c>
      <c r="Q2082">
        <v>-8.64</v>
      </c>
      <c r="R2082">
        <v>-8.75</v>
      </c>
      <c r="S2082">
        <v>-5.63</v>
      </c>
      <c r="T2082">
        <v>1.48</v>
      </c>
      <c r="U2082">
        <v>7.99</v>
      </c>
      <c r="V2082">
        <v>5.77</v>
      </c>
      <c r="W2082">
        <v>3.56</v>
      </c>
      <c r="X2082">
        <v>1.2</v>
      </c>
      <c r="Y2082">
        <v>1.47</v>
      </c>
      <c r="Z2082">
        <v>4.6399999999999997</v>
      </c>
      <c r="AA2082">
        <v>0.95</v>
      </c>
      <c r="AB2082">
        <v>3.87</v>
      </c>
      <c r="AC2082">
        <v>2.4300000000000002</v>
      </c>
      <c r="AD2082">
        <v>7.29</v>
      </c>
      <c r="AE2082">
        <v>3.83</v>
      </c>
      <c r="AF2082">
        <v>3.835</v>
      </c>
      <c r="AG2082" t="str">
        <f>HYPERLINK("https://finance.naver.com/item/fchart.naver?code=002140", "고려산업 차트보기")</f>
        <v>고려산업 차트보기</v>
      </c>
    </row>
    <row r="2083" spans="1:33" x14ac:dyDescent="0.3">
      <c r="A2083" t="s">
        <v>8359</v>
      </c>
      <c r="B2083" t="s">
        <v>55</v>
      </c>
      <c r="C2083" t="s">
        <v>8360</v>
      </c>
      <c r="D2083">
        <v>846109.76</v>
      </c>
      <c r="E2083" t="s">
        <v>8361</v>
      </c>
      <c r="F2083">
        <v>0</v>
      </c>
      <c r="G2083">
        <v>1.889999985694885</v>
      </c>
      <c r="H2083">
        <v>0</v>
      </c>
      <c r="I2083">
        <v>0</v>
      </c>
      <c r="J2083" t="s">
        <v>8362</v>
      </c>
      <c r="K2083">
        <v>1270</v>
      </c>
      <c r="L2083">
        <v>1309</v>
      </c>
      <c r="M2083">
        <v>3.07</v>
      </c>
      <c r="N2083">
        <v>17.61</v>
      </c>
      <c r="O2083">
        <v>11.11</v>
      </c>
      <c r="P2083">
        <v>-2.62</v>
      </c>
      <c r="Q2083">
        <v>-28.41</v>
      </c>
      <c r="R2083">
        <v>7.9</v>
      </c>
      <c r="S2083">
        <v>-7.79</v>
      </c>
      <c r="T2083">
        <v>4.88</v>
      </c>
      <c r="U2083">
        <v>3.83</v>
      </c>
      <c r="V2083">
        <v>1.94</v>
      </c>
      <c r="W2083">
        <v>8.14</v>
      </c>
      <c r="X2083">
        <v>7</v>
      </c>
      <c r="Y2083">
        <v>0.74</v>
      </c>
      <c r="Z2083">
        <v>3.61</v>
      </c>
      <c r="AA2083">
        <v>2.9</v>
      </c>
      <c r="AB2083">
        <v>1.35</v>
      </c>
      <c r="AC2083">
        <v>3.49</v>
      </c>
      <c r="AD2083">
        <v>1.1299999999999999</v>
      </c>
      <c r="AE2083">
        <v>10.53</v>
      </c>
      <c r="AF2083">
        <v>3.835</v>
      </c>
      <c r="AG2083" t="str">
        <f>HYPERLINK("https://finance.naver.com/item/fchart.naver?code=380540", "옵티코어 차트보기")</f>
        <v>옵티코어 차트보기</v>
      </c>
    </row>
    <row r="2084" spans="1:33" x14ac:dyDescent="0.3">
      <c r="A2084" t="s">
        <v>8363</v>
      </c>
      <c r="B2084" t="s">
        <v>55</v>
      </c>
      <c r="C2084" t="s">
        <v>8364</v>
      </c>
      <c r="D2084">
        <v>289996.33</v>
      </c>
      <c r="E2084" t="s">
        <v>8365</v>
      </c>
      <c r="F2084">
        <v>39.25</v>
      </c>
      <c r="G2084">
        <v>1.7699999809265139</v>
      </c>
      <c r="H2084">
        <v>28</v>
      </c>
      <c r="I2084">
        <v>0</v>
      </c>
      <c r="J2084" t="s">
        <v>8366</v>
      </c>
      <c r="K2084">
        <v>1506</v>
      </c>
      <c r="L2084">
        <v>1099</v>
      </c>
      <c r="M2084">
        <v>-27.03</v>
      </c>
      <c r="N2084">
        <v>-7.02</v>
      </c>
      <c r="O2084">
        <v>4.88</v>
      </c>
      <c r="P2084">
        <v>-4.2699999999999996</v>
      </c>
      <c r="Q2084">
        <v>-12.43</v>
      </c>
      <c r="R2084">
        <v>4.99</v>
      </c>
      <c r="S2084">
        <v>-9.43</v>
      </c>
      <c r="T2084">
        <v>1.66</v>
      </c>
      <c r="U2084">
        <v>2.42</v>
      </c>
      <c r="V2084">
        <v>1.94</v>
      </c>
      <c r="W2084">
        <v>3.51</v>
      </c>
      <c r="X2084">
        <v>1.68</v>
      </c>
      <c r="Y2084">
        <v>1.17</v>
      </c>
      <c r="Z2084">
        <v>4.2300000000000004</v>
      </c>
      <c r="AA2084">
        <v>2.02</v>
      </c>
      <c r="AB2084">
        <v>2.2000000000000002</v>
      </c>
      <c r="AC2084">
        <v>3.54</v>
      </c>
      <c r="AD2084">
        <v>2.97</v>
      </c>
      <c r="AE2084">
        <v>8.06</v>
      </c>
      <c r="AF2084">
        <v>3.836666666666666</v>
      </c>
      <c r="AG2084" t="str">
        <f>HYPERLINK("https://finance.naver.com/item/fchart.naver?code=074430", "아미노로직스 차트보기")</f>
        <v>아미노로직스 차트보기</v>
      </c>
    </row>
    <row r="2085" spans="1:33" x14ac:dyDescent="0.3">
      <c r="A2085" t="s">
        <v>8367</v>
      </c>
      <c r="B2085" t="s">
        <v>34</v>
      </c>
      <c r="C2085" t="s">
        <v>8368</v>
      </c>
      <c r="D2085">
        <v>150201.76</v>
      </c>
      <c r="E2085" t="s">
        <v>8369</v>
      </c>
      <c r="F2085">
        <v>0</v>
      </c>
      <c r="G2085">
        <v>0.34000000357627869</v>
      </c>
      <c r="H2085">
        <v>0</v>
      </c>
      <c r="I2085">
        <v>2.2400000095367432</v>
      </c>
      <c r="J2085" t="s">
        <v>8370</v>
      </c>
      <c r="K2085">
        <v>930</v>
      </c>
      <c r="L2085">
        <v>892</v>
      </c>
      <c r="M2085">
        <v>-4.09</v>
      </c>
      <c r="N2085">
        <v>-1.33</v>
      </c>
      <c r="O2085">
        <v>-5.2</v>
      </c>
      <c r="P2085">
        <v>-33.049999999999997</v>
      </c>
      <c r="Q2085">
        <v>48.72</v>
      </c>
      <c r="R2085">
        <v>13.41</v>
      </c>
      <c r="S2085">
        <v>-1.79</v>
      </c>
      <c r="T2085">
        <v>1.87</v>
      </c>
      <c r="U2085">
        <v>2.23</v>
      </c>
      <c r="V2085">
        <v>6.53</v>
      </c>
      <c r="W2085">
        <v>5.53</v>
      </c>
      <c r="X2085">
        <v>2.48</v>
      </c>
      <c r="Y2085">
        <v>2.5299999999999998</v>
      </c>
      <c r="Z2085">
        <v>0.71</v>
      </c>
      <c r="AA2085">
        <v>2.33</v>
      </c>
      <c r="AB2085">
        <v>5.0599999999999996</v>
      </c>
      <c r="AC2085">
        <v>8.81</v>
      </c>
      <c r="AD2085">
        <v>5.41</v>
      </c>
      <c r="AE2085">
        <v>0.71</v>
      </c>
      <c r="AF2085">
        <v>3.8383333333333329</v>
      </c>
      <c r="AG2085" t="str">
        <f>HYPERLINK("https://finance.naver.com/item/fchart.naver?code=002870", "신풍 차트보기")</f>
        <v>신풍 차트보기</v>
      </c>
    </row>
    <row r="2086" spans="1:33" x14ac:dyDescent="0.3">
      <c r="A2086" t="s">
        <v>8371</v>
      </c>
      <c r="B2086" t="s">
        <v>34</v>
      </c>
      <c r="C2086" t="s">
        <v>8372</v>
      </c>
      <c r="D2086">
        <v>185923.57</v>
      </c>
      <c r="E2086" t="s">
        <v>8373</v>
      </c>
      <c r="J2086" t="s">
        <v>8374</v>
      </c>
      <c r="K2086">
        <v>4860</v>
      </c>
      <c r="L2086">
        <v>4640</v>
      </c>
      <c r="M2086">
        <v>-4.53</v>
      </c>
      <c r="N2086">
        <v>-6.64</v>
      </c>
      <c r="O2086">
        <v>2.78</v>
      </c>
      <c r="P2086">
        <v>-0.8</v>
      </c>
      <c r="Q2086">
        <v>2.9</v>
      </c>
      <c r="R2086">
        <v>7.28</v>
      </c>
      <c r="S2086">
        <v>-4.45</v>
      </c>
      <c r="T2086">
        <v>0.61</v>
      </c>
      <c r="U2086">
        <v>1.89</v>
      </c>
      <c r="V2086">
        <v>1.72</v>
      </c>
      <c r="W2086">
        <v>1.85</v>
      </c>
      <c r="X2086">
        <v>1.2</v>
      </c>
      <c r="Y2086">
        <v>1.73</v>
      </c>
      <c r="Z2086">
        <v>10.89</v>
      </c>
      <c r="AA2086">
        <v>1.47</v>
      </c>
      <c r="AB2086">
        <v>0.47</v>
      </c>
      <c r="AC2086">
        <v>1.57</v>
      </c>
      <c r="AD2086">
        <v>6.07</v>
      </c>
      <c r="AE2086">
        <v>2.57</v>
      </c>
      <c r="AF2086">
        <v>3.84</v>
      </c>
      <c r="AG2086" t="str">
        <f>HYPERLINK("https://finance.naver.com/item/fchart.naver?code=365550", "ESR켄달스퀘어리츠 차트보기")</f>
        <v>ESR켄달스퀘어리츠 차트보기</v>
      </c>
    </row>
    <row r="2087" spans="1:33" x14ac:dyDescent="0.3">
      <c r="A2087" t="s">
        <v>8375</v>
      </c>
      <c r="B2087" t="s">
        <v>55</v>
      </c>
      <c r="C2087" t="s">
        <v>8376</v>
      </c>
      <c r="D2087">
        <v>35429.86</v>
      </c>
      <c r="E2087" t="s">
        <v>8377</v>
      </c>
      <c r="F2087">
        <v>4.03</v>
      </c>
      <c r="G2087">
        <v>0.34999999403953552</v>
      </c>
      <c r="H2087">
        <v>325</v>
      </c>
      <c r="I2087">
        <v>3.809999942779541</v>
      </c>
      <c r="J2087" t="s">
        <v>8378</v>
      </c>
      <c r="K2087">
        <v>1487</v>
      </c>
      <c r="L2087">
        <v>1311</v>
      </c>
      <c r="M2087">
        <v>-11.84</v>
      </c>
      <c r="N2087">
        <v>-2.74</v>
      </c>
      <c r="O2087">
        <v>2.12</v>
      </c>
      <c r="P2087">
        <v>8.93</v>
      </c>
      <c r="Q2087">
        <v>-8.66</v>
      </c>
      <c r="R2087">
        <v>-9.49</v>
      </c>
      <c r="S2087">
        <v>-1.95</v>
      </c>
      <c r="T2087">
        <v>0.91</v>
      </c>
      <c r="U2087">
        <v>1.59</v>
      </c>
      <c r="V2087">
        <v>2.31</v>
      </c>
      <c r="W2087">
        <v>2.82</v>
      </c>
      <c r="X2087">
        <v>1.53</v>
      </c>
      <c r="Y2087">
        <v>0.35</v>
      </c>
      <c r="Z2087">
        <v>3.01</v>
      </c>
      <c r="AA2087">
        <v>1.33</v>
      </c>
      <c r="AB2087">
        <v>3.87</v>
      </c>
      <c r="AC2087">
        <v>3.07</v>
      </c>
      <c r="AD2087">
        <v>6.2</v>
      </c>
      <c r="AE2087">
        <v>5.57</v>
      </c>
      <c r="AF2087">
        <v>3.8416666666666668</v>
      </c>
      <c r="AG2087" t="str">
        <f>HYPERLINK("https://finance.naver.com/item/fchart.naver?code=031510", "오스템 차트보기")</f>
        <v>오스템 차트보기</v>
      </c>
    </row>
    <row r="2088" spans="1:33" x14ac:dyDescent="0.3">
      <c r="A2088" t="s">
        <v>8379</v>
      </c>
      <c r="B2088" t="s">
        <v>55</v>
      </c>
      <c r="C2088" t="s">
        <v>8380</v>
      </c>
      <c r="D2088">
        <v>11854.67</v>
      </c>
      <c r="E2088" t="s">
        <v>8381</v>
      </c>
      <c r="F2088">
        <v>0</v>
      </c>
      <c r="G2088">
        <v>0.46000000834465032</v>
      </c>
      <c r="H2088">
        <v>0</v>
      </c>
      <c r="I2088">
        <v>2.6099998950958252</v>
      </c>
      <c r="J2088" t="s">
        <v>8382</v>
      </c>
      <c r="K2088">
        <v>2830</v>
      </c>
      <c r="L2088">
        <v>1918</v>
      </c>
      <c r="M2088">
        <v>-32.229999999999997</v>
      </c>
      <c r="N2088">
        <v>-2.74</v>
      </c>
      <c r="O2088">
        <v>-5.17</v>
      </c>
      <c r="P2088">
        <v>1.45</v>
      </c>
      <c r="Q2088">
        <v>-8.51</v>
      </c>
      <c r="R2088">
        <v>-6.61</v>
      </c>
      <c r="S2088">
        <v>-7.3</v>
      </c>
      <c r="T2088">
        <v>1.28</v>
      </c>
      <c r="U2088">
        <v>0.87</v>
      </c>
      <c r="V2088">
        <v>1.71</v>
      </c>
      <c r="W2088">
        <v>2.2999999999999998</v>
      </c>
      <c r="X2088">
        <v>1.22</v>
      </c>
      <c r="Y2088">
        <v>1.45</v>
      </c>
      <c r="Z2088">
        <v>2.14</v>
      </c>
      <c r="AA2088">
        <v>5.94</v>
      </c>
      <c r="AB2088">
        <v>0.85</v>
      </c>
      <c r="AC2088">
        <v>3.7</v>
      </c>
      <c r="AD2088">
        <v>5.42</v>
      </c>
      <c r="AE2088">
        <v>5.03</v>
      </c>
      <c r="AF2088">
        <v>3.8466666666666658</v>
      </c>
      <c r="AG2088" t="str">
        <f>HYPERLINK("https://finance.naver.com/item/fchart.naver?code=060480", "국일신동 차트보기")</f>
        <v>국일신동 차트보기</v>
      </c>
    </row>
    <row r="2089" spans="1:33" x14ac:dyDescent="0.3">
      <c r="A2089" t="s">
        <v>8383</v>
      </c>
      <c r="B2089" t="s">
        <v>55</v>
      </c>
      <c r="C2089" t="s">
        <v>8384</v>
      </c>
      <c r="D2089">
        <v>52619.24</v>
      </c>
      <c r="E2089" t="s">
        <v>8385</v>
      </c>
      <c r="F2089">
        <v>0</v>
      </c>
      <c r="G2089">
        <v>2.0799999237060551</v>
      </c>
      <c r="H2089">
        <v>0</v>
      </c>
      <c r="I2089">
        <v>0</v>
      </c>
      <c r="J2089" t="s">
        <v>8386</v>
      </c>
      <c r="K2089">
        <v>2300</v>
      </c>
      <c r="L2089">
        <v>1452</v>
      </c>
      <c r="M2089">
        <v>-36.869999999999997</v>
      </c>
      <c r="N2089">
        <v>-3.26</v>
      </c>
      <c r="O2089">
        <v>-7.54</v>
      </c>
      <c r="P2089">
        <v>-18.38</v>
      </c>
      <c r="Q2089">
        <v>33.07</v>
      </c>
      <c r="R2089">
        <v>-12.12</v>
      </c>
      <c r="S2089">
        <v>-16.07</v>
      </c>
      <c r="T2089">
        <v>2.15</v>
      </c>
      <c r="U2089">
        <v>2.12</v>
      </c>
      <c r="V2089">
        <v>4.37</v>
      </c>
      <c r="W2089">
        <v>7.36</v>
      </c>
      <c r="X2089">
        <v>2.5</v>
      </c>
      <c r="Y2089">
        <v>3.6</v>
      </c>
      <c r="Z2089">
        <v>1.52</v>
      </c>
      <c r="AA2089">
        <v>3.56</v>
      </c>
      <c r="AB2089">
        <v>4.21</v>
      </c>
      <c r="AC2089">
        <v>4.49</v>
      </c>
      <c r="AD2089">
        <v>4.8499999999999996</v>
      </c>
      <c r="AE2089">
        <v>4.46</v>
      </c>
      <c r="AF2089">
        <v>3.8483333333333332</v>
      </c>
      <c r="AG2089" t="str">
        <f>HYPERLINK("https://finance.naver.com/item/fchart.naver?code=258610", "케일럼 차트보기")</f>
        <v>케일럼 차트보기</v>
      </c>
    </row>
    <row r="2090" spans="1:33" x14ac:dyDescent="0.3">
      <c r="A2090" t="s">
        <v>8387</v>
      </c>
      <c r="B2090" t="s">
        <v>55</v>
      </c>
      <c r="C2090" t="s">
        <v>8388</v>
      </c>
      <c r="D2090">
        <v>101728.19</v>
      </c>
      <c r="E2090" t="s">
        <v>8389</v>
      </c>
      <c r="F2090">
        <v>0</v>
      </c>
      <c r="G2090">
        <v>7.1599998474121094</v>
      </c>
      <c r="H2090">
        <v>0</v>
      </c>
      <c r="I2090">
        <v>0</v>
      </c>
      <c r="J2090" t="s">
        <v>8390</v>
      </c>
      <c r="K2090">
        <v>25600</v>
      </c>
      <c r="L2090">
        <v>19700</v>
      </c>
      <c r="M2090">
        <v>-23.05</v>
      </c>
      <c r="N2090">
        <v>35.770000000000003</v>
      </c>
      <c r="O2090">
        <v>-2.79</v>
      </c>
      <c r="P2090">
        <v>0.26</v>
      </c>
      <c r="Q2090">
        <v>-13.16</v>
      </c>
      <c r="R2090">
        <v>-22.86</v>
      </c>
      <c r="S2090">
        <v>-8.0399999999999991</v>
      </c>
      <c r="T2090">
        <v>6.36</v>
      </c>
      <c r="U2090">
        <v>2.42</v>
      </c>
      <c r="V2090">
        <v>3.38</v>
      </c>
      <c r="W2090">
        <v>5.85</v>
      </c>
      <c r="X2090">
        <v>2.0699999999999998</v>
      </c>
      <c r="Y2090">
        <v>2.73</v>
      </c>
      <c r="Z2090">
        <v>5.62</v>
      </c>
      <c r="AA2090">
        <v>1.1499999999999999</v>
      </c>
      <c r="AB2090">
        <v>0.08</v>
      </c>
      <c r="AC2090">
        <v>2.25</v>
      </c>
      <c r="AD2090">
        <v>11.04</v>
      </c>
      <c r="AE2090">
        <v>2.95</v>
      </c>
      <c r="AF2090">
        <v>3.8483333333333332</v>
      </c>
      <c r="AG2090" t="str">
        <f>HYPERLINK("https://finance.naver.com/item/fchart.naver?code=402030", "코난테크놀로지 차트보기")</f>
        <v>코난테크놀로지 차트보기</v>
      </c>
    </row>
    <row r="2091" spans="1:33" x14ac:dyDescent="0.3">
      <c r="A2091" t="s">
        <v>8391</v>
      </c>
      <c r="B2091" t="s">
        <v>34</v>
      </c>
      <c r="C2091" t="s">
        <v>8392</v>
      </c>
      <c r="D2091">
        <v>565515.81000000006</v>
      </c>
      <c r="E2091" t="s">
        <v>8393</v>
      </c>
      <c r="F2091">
        <v>0</v>
      </c>
      <c r="G2091">
        <v>0.14000000059604639</v>
      </c>
      <c r="H2091">
        <v>0</v>
      </c>
      <c r="I2091">
        <v>5.4499998092651367</v>
      </c>
      <c r="J2091" t="s">
        <v>8394</v>
      </c>
      <c r="K2091">
        <v>1836</v>
      </c>
      <c r="L2091">
        <v>917</v>
      </c>
      <c r="M2091">
        <v>-50.05</v>
      </c>
      <c r="N2091">
        <v>7.25</v>
      </c>
      <c r="O2091">
        <v>-15.6</v>
      </c>
      <c r="P2091">
        <v>9.1300000000000008</v>
      </c>
      <c r="Q2091">
        <v>-49.75</v>
      </c>
      <c r="R2091">
        <v>-9.5</v>
      </c>
      <c r="S2091">
        <v>-3.97</v>
      </c>
      <c r="T2091">
        <v>3.55</v>
      </c>
      <c r="U2091">
        <v>4.57</v>
      </c>
      <c r="V2091">
        <v>10.92</v>
      </c>
      <c r="W2091">
        <v>7.69</v>
      </c>
      <c r="X2091">
        <v>1.1599999999999999</v>
      </c>
      <c r="Y2091">
        <v>1.85</v>
      </c>
      <c r="Z2091">
        <v>2.04</v>
      </c>
      <c r="AA2091">
        <v>3.41</v>
      </c>
      <c r="AB2091">
        <v>0.84</v>
      </c>
      <c r="AC2091">
        <v>6.47</v>
      </c>
      <c r="AD2091">
        <v>8.19</v>
      </c>
      <c r="AE2091">
        <v>2.15</v>
      </c>
      <c r="AF2091">
        <v>3.85</v>
      </c>
      <c r="AG2091" t="str">
        <f>HYPERLINK("https://finance.naver.com/item/fchart.naver?code=009440", "KC그린홀딩스 차트보기")</f>
        <v>KC그린홀딩스 차트보기</v>
      </c>
    </row>
    <row r="2092" spans="1:33" x14ac:dyDescent="0.3">
      <c r="A2092" t="s">
        <v>8395</v>
      </c>
      <c r="B2092" t="s">
        <v>55</v>
      </c>
      <c r="C2092" t="s">
        <v>8396</v>
      </c>
      <c r="D2092">
        <v>19202.43</v>
      </c>
      <c r="E2092" t="s">
        <v>8397</v>
      </c>
      <c r="F2092">
        <v>0</v>
      </c>
      <c r="G2092">
        <v>0.44999998807907099</v>
      </c>
      <c r="H2092">
        <v>0</v>
      </c>
      <c r="I2092">
        <v>0</v>
      </c>
      <c r="J2092" t="s">
        <v>8398</v>
      </c>
      <c r="K2092">
        <v>2060</v>
      </c>
      <c r="L2092">
        <v>1304</v>
      </c>
      <c r="M2092">
        <v>-36.700000000000003</v>
      </c>
      <c r="N2092">
        <v>-11.11</v>
      </c>
      <c r="O2092">
        <v>-7.3</v>
      </c>
      <c r="P2092">
        <v>-2.62</v>
      </c>
      <c r="Q2092">
        <v>8.41</v>
      </c>
      <c r="R2092">
        <v>-5.39</v>
      </c>
      <c r="S2092">
        <v>-21.23</v>
      </c>
      <c r="T2092">
        <v>1.84</v>
      </c>
      <c r="U2092">
        <v>1.35</v>
      </c>
      <c r="V2092">
        <v>1.84</v>
      </c>
      <c r="W2092">
        <v>3.61</v>
      </c>
      <c r="X2092">
        <v>1.74</v>
      </c>
      <c r="Y2092">
        <v>4.42</v>
      </c>
      <c r="Z2092">
        <v>6.04</v>
      </c>
      <c r="AA2092">
        <v>5.41</v>
      </c>
      <c r="AB2092">
        <v>1.42</v>
      </c>
      <c r="AC2092">
        <v>2.33</v>
      </c>
      <c r="AD2092">
        <v>3.1</v>
      </c>
      <c r="AE2092">
        <v>4.8</v>
      </c>
      <c r="AF2092">
        <v>3.85</v>
      </c>
      <c r="AG2092" t="str">
        <f>HYPERLINK("https://finance.naver.com/item/fchart.naver?code=076080", "웰크론한텍 차트보기")</f>
        <v>웰크론한텍 차트보기</v>
      </c>
    </row>
    <row r="2093" spans="1:33" x14ac:dyDescent="0.3">
      <c r="A2093" t="s">
        <v>8399</v>
      </c>
      <c r="B2093" t="s">
        <v>55</v>
      </c>
      <c r="C2093" t="s">
        <v>8400</v>
      </c>
      <c r="D2093">
        <v>127216.38</v>
      </c>
      <c r="E2093" t="s">
        <v>8401</v>
      </c>
      <c r="F2093">
        <v>25.33</v>
      </c>
      <c r="G2093">
        <v>2.8900001049041748</v>
      </c>
      <c r="H2093">
        <v>225</v>
      </c>
      <c r="I2093">
        <v>1.580000042915344</v>
      </c>
      <c r="J2093" t="s">
        <v>8402</v>
      </c>
      <c r="K2093">
        <v>12300</v>
      </c>
      <c r="L2093">
        <v>5700</v>
      </c>
      <c r="M2093">
        <v>-53.66</v>
      </c>
      <c r="N2093">
        <v>-13.24</v>
      </c>
      <c r="O2093">
        <v>-15.42</v>
      </c>
      <c r="P2093">
        <v>21.83</v>
      </c>
      <c r="Q2093">
        <v>-11.2</v>
      </c>
      <c r="R2093">
        <v>-19.350000000000001</v>
      </c>
      <c r="S2093">
        <v>-4.4000000000000004</v>
      </c>
      <c r="T2093">
        <v>4.49</v>
      </c>
      <c r="U2093">
        <v>1.6</v>
      </c>
      <c r="V2093">
        <v>6.9</v>
      </c>
      <c r="W2093">
        <v>4.99</v>
      </c>
      <c r="X2093">
        <v>4.5</v>
      </c>
      <c r="Y2093">
        <v>5.4</v>
      </c>
      <c r="Z2093">
        <v>2.95</v>
      </c>
      <c r="AA2093">
        <v>9.64</v>
      </c>
      <c r="AB2093">
        <v>3.16</v>
      </c>
      <c r="AC2093">
        <v>2.2400000000000002</v>
      </c>
      <c r="AD2093">
        <v>4.3</v>
      </c>
      <c r="AE2093">
        <v>0.81</v>
      </c>
      <c r="AF2093">
        <v>3.85</v>
      </c>
      <c r="AG2093" t="str">
        <f>HYPERLINK("https://finance.naver.com/item/fchart.naver?code=393210", "토마토시스템 차트보기")</f>
        <v>토마토시스템 차트보기</v>
      </c>
    </row>
    <row r="2094" spans="1:33" x14ac:dyDescent="0.3">
      <c r="A2094" t="s">
        <v>8403</v>
      </c>
      <c r="B2094" t="s">
        <v>34</v>
      </c>
      <c r="C2094" t="s">
        <v>8404</v>
      </c>
      <c r="D2094">
        <v>178383.14</v>
      </c>
      <c r="E2094" t="s">
        <v>8405</v>
      </c>
      <c r="F2094">
        <v>7.17</v>
      </c>
      <c r="G2094">
        <v>0.6600000262260437</v>
      </c>
      <c r="H2094">
        <v>15881</v>
      </c>
      <c r="I2094">
        <v>1.4099999666213989</v>
      </c>
      <c r="J2094" t="s">
        <v>8406</v>
      </c>
      <c r="K2094">
        <v>161500</v>
      </c>
      <c r="L2094">
        <v>113800</v>
      </c>
      <c r="M2094">
        <v>-29.54</v>
      </c>
      <c r="N2094">
        <v>11.13</v>
      </c>
      <c r="O2094">
        <v>-17.57</v>
      </c>
      <c r="P2094">
        <v>15.03</v>
      </c>
      <c r="Q2094">
        <v>-5.67</v>
      </c>
      <c r="R2094">
        <v>-11.14</v>
      </c>
      <c r="S2094">
        <v>-15.25</v>
      </c>
      <c r="T2094">
        <v>3.13</v>
      </c>
      <c r="U2094">
        <v>2.72</v>
      </c>
      <c r="V2094">
        <v>3.59</v>
      </c>
      <c r="W2094">
        <v>3.88</v>
      </c>
      <c r="X2094">
        <v>4.47</v>
      </c>
      <c r="Y2094">
        <v>3.09</v>
      </c>
      <c r="Z2094">
        <v>3.56</v>
      </c>
      <c r="AA2094">
        <v>6.46</v>
      </c>
      <c r="AB2094">
        <v>4.1900000000000004</v>
      </c>
      <c r="AC2094">
        <v>1.46</v>
      </c>
      <c r="AD2094">
        <v>2.4900000000000002</v>
      </c>
      <c r="AE2094">
        <v>4.9400000000000004</v>
      </c>
      <c r="AF2094">
        <v>3.850000000000001</v>
      </c>
      <c r="AG2094" t="str">
        <f>HYPERLINK("https://finance.naver.com/item/fchart.naver?code=006260", "LS 차트보기")</f>
        <v>LS 차트보기</v>
      </c>
    </row>
    <row r="2095" spans="1:33" x14ac:dyDescent="0.3">
      <c r="A2095" t="s">
        <v>8407</v>
      </c>
      <c r="B2095" t="s">
        <v>55</v>
      </c>
      <c r="C2095" t="s">
        <v>8408</v>
      </c>
      <c r="D2095">
        <v>44217.1</v>
      </c>
      <c r="E2095" t="s">
        <v>8409</v>
      </c>
      <c r="F2095">
        <v>25.04</v>
      </c>
      <c r="G2095">
        <v>0.43000000715255737</v>
      </c>
      <c r="H2095">
        <v>128</v>
      </c>
      <c r="I2095">
        <v>0</v>
      </c>
      <c r="J2095" t="s">
        <v>8410</v>
      </c>
      <c r="K2095">
        <v>4015</v>
      </c>
      <c r="L2095">
        <v>3205</v>
      </c>
      <c r="M2095">
        <v>-20.170000000000002</v>
      </c>
      <c r="N2095">
        <v>6.83</v>
      </c>
      <c r="O2095">
        <v>-5.19</v>
      </c>
      <c r="P2095">
        <v>-6.55</v>
      </c>
      <c r="Q2095">
        <v>-1.57</v>
      </c>
      <c r="R2095">
        <v>-8.93</v>
      </c>
      <c r="S2095">
        <v>-5.86</v>
      </c>
      <c r="T2095">
        <v>1.51</v>
      </c>
      <c r="U2095">
        <v>1.44</v>
      </c>
      <c r="V2095">
        <v>1.92</v>
      </c>
      <c r="W2095">
        <v>3.72</v>
      </c>
      <c r="X2095">
        <v>1.81</v>
      </c>
      <c r="Y2095">
        <v>0.94</v>
      </c>
      <c r="Z2095">
        <v>4.5199999999999996</v>
      </c>
      <c r="AA2095">
        <v>3.6</v>
      </c>
      <c r="AB2095">
        <v>3.41</v>
      </c>
      <c r="AC2095">
        <v>0.42</v>
      </c>
      <c r="AD2095">
        <v>4.93</v>
      </c>
      <c r="AE2095">
        <v>6.23</v>
      </c>
      <c r="AF2095">
        <v>3.851666666666667</v>
      </c>
      <c r="AG2095" t="str">
        <f>HYPERLINK("https://finance.naver.com/item/fchart.naver?code=061040", "알에프텍 차트보기")</f>
        <v>알에프텍 차트보기</v>
      </c>
    </row>
    <row r="2096" spans="1:33" x14ac:dyDescent="0.3">
      <c r="A2096" t="s">
        <v>8411</v>
      </c>
      <c r="B2096" t="s">
        <v>55</v>
      </c>
      <c r="C2096" t="s">
        <v>8412</v>
      </c>
      <c r="D2096">
        <v>371783.33</v>
      </c>
      <c r="E2096" t="s">
        <v>8413</v>
      </c>
      <c r="F2096">
        <v>0</v>
      </c>
      <c r="G2096">
        <v>1.4800000190734861</v>
      </c>
      <c r="H2096">
        <v>0</v>
      </c>
      <c r="I2096">
        <v>0</v>
      </c>
      <c r="J2096" t="s">
        <v>8414</v>
      </c>
      <c r="K2096">
        <v>978</v>
      </c>
      <c r="L2096">
        <v>631</v>
      </c>
      <c r="M2096">
        <v>-35.479999999999997</v>
      </c>
      <c r="N2096">
        <v>-8.42</v>
      </c>
      <c r="O2096">
        <v>-9.36</v>
      </c>
      <c r="P2096">
        <v>4.47</v>
      </c>
      <c r="Q2096">
        <v>-3.29</v>
      </c>
      <c r="R2096">
        <v>7.13</v>
      </c>
      <c r="S2096">
        <v>-12.71</v>
      </c>
      <c r="T2096">
        <v>2.59</v>
      </c>
      <c r="U2096">
        <v>1.1000000000000001</v>
      </c>
      <c r="V2096">
        <v>2.08</v>
      </c>
      <c r="W2096">
        <v>3.46</v>
      </c>
      <c r="X2096">
        <v>2.68</v>
      </c>
      <c r="Y2096">
        <v>2.27</v>
      </c>
      <c r="Z2096">
        <v>3.25</v>
      </c>
      <c r="AA2096">
        <v>8.51</v>
      </c>
      <c r="AB2096">
        <v>2.15</v>
      </c>
      <c r="AC2096">
        <v>0.95</v>
      </c>
      <c r="AD2096">
        <v>2.66</v>
      </c>
      <c r="AE2096">
        <v>5.6</v>
      </c>
      <c r="AF2096">
        <v>3.8533333333333331</v>
      </c>
      <c r="AG2096" t="str">
        <f>HYPERLINK("https://finance.naver.com/item/fchart.naver?code=018000", "유니슨 차트보기")</f>
        <v>유니슨 차트보기</v>
      </c>
    </row>
    <row r="2097" spans="1:33" x14ac:dyDescent="0.3">
      <c r="A2097" t="s">
        <v>8415</v>
      </c>
      <c r="B2097" t="s">
        <v>55</v>
      </c>
      <c r="C2097" t="s">
        <v>8416</v>
      </c>
      <c r="D2097">
        <v>168746.14</v>
      </c>
      <c r="E2097" t="s">
        <v>8417</v>
      </c>
      <c r="F2097">
        <v>9.56</v>
      </c>
      <c r="G2097">
        <v>1.1000000238418579</v>
      </c>
      <c r="H2097">
        <v>134</v>
      </c>
      <c r="I2097">
        <v>0</v>
      </c>
      <c r="J2097" t="s">
        <v>8418</v>
      </c>
      <c r="K2097">
        <v>1700</v>
      </c>
      <c r="L2097">
        <v>1281</v>
      </c>
      <c r="M2097">
        <v>-24.65</v>
      </c>
      <c r="N2097">
        <v>-6.15</v>
      </c>
      <c r="O2097">
        <v>5.29</v>
      </c>
      <c r="P2097">
        <v>-1.96</v>
      </c>
      <c r="Q2097">
        <v>-10.94</v>
      </c>
      <c r="R2097">
        <v>-5.93</v>
      </c>
      <c r="S2097">
        <v>-4.6500000000000004</v>
      </c>
      <c r="T2097">
        <v>1.35</v>
      </c>
      <c r="U2097">
        <v>1.67</v>
      </c>
      <c r="V2097">
        <v>1.53</v>
      </c>
      <c r="W2097">
        <v>5.53</v>
      </c>
      <c r="X2097">
        <v>0.83</v>
      </c>
      <c r="Y2097">
        <v>0.93</v>
      </c>
      <c r="Z2097">
        <v>4.5599999999999996</v>
      </c>
      <c r="AA2097">
        <v>3.17</v>
      </c>
      <c r="AB2097">
        <v>1.28</v>
      </c>
      <c r="AC2097">
        <v>1.98</v>
      </c>
      <c r="AD2097">
        <v>7.14</v>
      </c>
      <c r="AE2097">
        <v>5</v>
      </c>
      <c r="AF2097">
        <v>3.855</v>
      </c>
      <c r="AG2097" t="str">
        <f>HYPERLINK("https://finance.naver.com/item/fchart.naver?code=340440", "세림B&amp;G 차트보기")</f>
        <v>세림B&amp;G 차트보기</v>
      </c>
    </row>
    <row r="2098" spans="1:33" x14ac:dyDescent="0.3">
      <c r="A2098" t="s">
        <v>8419</v>
      </c>
      <c r="B2098" t="s">
        <v>55</v>
      </c>
      <c r="C2098" t="s">
        <v>8420</v>
      </c>
      <c r="D2098">
        <v>2141511.19</v>
      </c>
      <c r="E2098" t="s">
        <v>8421</v>
      </c>
      <c r="F2098">
        <v>32</v>
      </c>
      <c r="G2098">
        <v>2.9300000667572021</v>
      </c>
      <c r="H2098">
        <v>49</v>
      </c>
      <c r="I2098">
        <v>0</v>
      </c>
      <c r="J2098" t="s">
        <v>8422</v>
      </c>
      <c r="K2098">
        <v>3385</v>
      </c>
      <c r="L2098">
        <v>1568</v>
      </c>
      <c r="M2098">
        <v>-53.68</v>
      </c>
      <c r="N2098">
        <v>4.67</v>
      </c>
      <c r="O2098">
        <v>-15.17</v>
      </c>
      <c r="P2098">
        <v>5.71</v>
      </c>
      <c r="Q2098">
        <v>-42.53</v>
      </c>
      <c r="R2098">
        <v>9.59</v>
      </c>
      <c r="S2098">
        <v>-14.94</v>
      </c>
      <c r="T2098">
        <v>4.6100000000000003</v>
      </c>
      <c r="U2098">
        <v>2.2200000000000002</v>
      </c>
      <c r="V2098">
        <v>6.83</v>
      </c>
      <c r="W2098">
        <v>6.57</v>
      </c>
      <c r="X2098">
        <v>6.58</v>
      </c>
      <c r="Y2098">
        <v>2.29</v>
      </c>
      <c r="Z2098">
        <v>1.01</v>
      </c>
      <c r="AA2098">
        <v>6.83</v>
      </c>
      <c r="AB2098">
        <v>0.84</v>
      </c>
      <c r="AC2098">
        <v>6.47</v>
      </c>
      <c r="AD2098">
        <v>1.46</v>
      </c>
      <c r="AE2098">
        <v>6.52</v>
      </c>
      <c r="AF2098">
        <v>3.855</v>
      </c>
      <c r="AG2098" t="str">
        <f>HYPERLINK("https://finance.naver.com/item/fchart.naver?code=066790", "씨씨에스 차트보기")</f>
        <v>씨씨에스 차트보기</v>
      </c>
    </row>
    <row r="2099" spans="1:33" x14ac:dyDescent="0.3">
      <c r="A2099" t="s">
        <v>8423</v>
      </c>
      <c r="B2099" t="s">
        <v>34</v>
      </c>
      <c r="C2099" t="s">
        <v>8424</v>
      </c>
      <c r="D2099">
        <v>172868.24</v>
      </c>
      <c r="E2099" t="s">
        <v>8425</v>
      </c>
      <c r="F2099">
        <v>17.440000000000001</v>
      </c>
      <c r="G2099">
        <v>0.61000001430511475</v>
      </c>
      <c r="H2099">
        <v>1296</v>
      </c>
      <c r="I2099">
        <v>1.080000042915344</v>
      </c>
      <c r="J2099" t="s">
        <v>8426</v>
      </c>
      <c r="K2099">
        <v>35700</v>
      </c>
      <c r="L2099">
        <v>22600</v>
      </c>
      <c r="M2099">
        <v>-36.69</v>
      </c>
      <c r="N2099">
        <v>-2.38</v>
      </c>
      <c r="O2099">
        <v>-15.66</v>
      </c>
      <c r="P2099">
        <v>11.62</v>
      </c>
      <c r="Q2099">
        <v>-20.7</v>
      </c>
      <c r="R2099">
        <v>-3.72</v>
      </c>
      <c r="S2099">
        <v>-9.51</v>
      </c>
      <c r="T2099">
        <v>3</v>
      </c>
      <c r="U2099">
        <v>1.97</v>
      </c>
      <c r="V2099">
        <v>2.36</v>
      </c>
      <c r="W2099">
        <v>4.71</v>
      </c>
      <c r="X2099">
        <v>2.13</v>
      </c>
      <c r="Y2099">
        <v>2.86</v>
      </c>
      <c r="Z2099">
        <v>0.79</v>
      </c>
      <c r="AA2099">
        <v>7.95</v>
      </c>
      <c r="AB2099">
        <v>4.92</v>
      </c>
      <c r="AC2099">
        <v>4.3899999999999997</v>
      </c>
      <c r="AD2099">
        <v>1.75</v>
      </c>
      <c r="AE2099">
        <v>3.33</v>
      </c>
      <c r="AF2099">
        <v>3.855</v>
      </c>
      <c r="AG2099" t="str">
        <f>HYPERLINK("https://finance.naver.com/item/fchart.naver?code=002790", "아모레G 차트보기")</f>
        <v>아모레G 차트보기</v>
      </c>
    </row>
    <row r="2100" spans="1:33" x14ac:dyDescent="0.3">
      <c r="A2100" t="s">
        <v>8427</v>
      </c>
      <c r="B2100" t="s">
        <v>34</v>
      </c>
      <c r="C2100" t="s">
        <v>8428</v>
      </c>
      <c r="D2100">
        <v>803457.48</v>
      </c>
      <c r="E2100" t="s">
        <v>8429</v>
      </c>
      <c r="F2100">
        <v>0</v>
      </c>
      <c r="G2100">
        <v>0.51999998092651367</v>
      </c>
      <c r="H2100">
        <v>0</v>
      </c>
      <c r="I2100">
        <v>2.220000028610229</v>
      </c>
      <c r="J2100" t="s">
        <v>8430</v>
      </c>
      <c r="K2100">
        <v>1542</v>
      </c>
      <c r="L2100">
        <v>900</v>
      </c>
      <c r="M2100">
        <v>-41.63</v>
      </c>
      <c r="N2100">
        <v>2.04</v>
      </c>
      <c r="O2100">
        <v>-6.51</v>
      </c>
      <c r="P2100">
        <v>-6.91</v>
      </c>
      <c r="Q2100">
        <v>-8.67</v>
      </c>
      <c r="R2100">
        <v>-12.62</v>
      </c>
      <c r="S2100">
        <v>-8.51</v>
      </c>
      <c r="T2100">
        <v>2.88</v>
      </c>
      <c r="U2100">
        <v>1.85</v>
      </c>
      <c r="V2100">
        <v>2.27</v>
      </c>
      <c r="W2100">
        <v>4.53</v>
      </c>
      <c r="X2100">
        <v>1.53</v>
      </c>
      <c r="Y2100">
        <v>1.49</v>
      </c>
      <c r="Z2100">
        <v>0.71</v>
      </c>
      <c r="AA2100">
        <v>3.52</v>
      </c>
      <c r="AB2100">
        <v>3.04</v>
      </c>
      <c r="AC2100">
        <v>1.91</v>
      </c>
      <c r="AD2100">
        <v>8.25</v>
      </c>
      <c r="AE2100">
        <v>5.71</v>
      </c>
      <c r="AF2100">
        <v>3.8566666666666669</v>
      </c>
      <c r="AG2100" t="str">
        <f>HYPERLINK("https://finance.naver.com/item/fchart.naver?code=092220", "KEC 차트보기")</f>
        <v>KEC 차트보기</v>
      </c>
    </row>
    <row r="2101" spans="1:33" x14ac:dyDescent="0.3">
      <c r="A2101" t="s">
        <v>8431</v>
      </c>
      <c r="B2101" t="s">
        <v>55</v>
      </c>
      <c r="C2101" t="s">
        <v>8432</v>
      </c>
      <c r="D2101">
        <v>29377.71</v>
      </c>
      <c r="E2101" t="s">
        <v>8433</v>
      </c>
      <c r="F2101">
        <v>18.649999999999999</v>
      </c>
      <c r="G2101">
        <v>0.89999997615814209</v>
      </c>
      <c r="H2101">
        <v>91</v>
      </c>
      <c r="I2101">
        <v>1.7699999809265139</v>
      </c>
      <c r="J2101" t="s">
        <v>8434</v>
      </c>
      <c r="K2101">
        <v>2865</v>
      </c>
      <c r="L2101">
        <v>1697</v>
      </c>
      <c r="M2101">
        <v>-40.770000000000003</v>
      </c>
      <c r="N2101">
        <v>-0.76</v>
      </c>
      <c r="O2101">
        <v>-9.0500000000000007</v>
      </c>
      <c r="P2101">
        <v>-2.12</v>
      </c>
      <c r="Q2101">
        <v>-13.26</v>
      </c>
      <c r="R2101">
        <v>-12.3</v>
      </c>
      <c r="S2101">
        <v>-6.7</v>
      </c>
      <c r="T2101">
        <v>1.79</v>
      </c>
      <c r="U2101">
        <v>1.75</v>
      </c>
      <c r="V2101">
        <v>1.73</v>
      </c>
      <c r="W2101">
        <v>5.2</v>
      </c>
      <c r="X2101">
        <v>1.54</v>
      </c>
      <c r="Y2101">
        <v>1.1599999999999999</v>
      </c>
      <c r="Z2101">
        <v>0.42</v>
      </c>
      <c r="AA2101">
        <v>5.17</v>
      </c>
      <c r="AB2101">
        <v>1.23</v>
      </c>
      <c r="AC2101">
        <v>2.5499999999999998</v>
      </c>
      <c r="AD2101">
        <v>7.99</v>
      </c>
      <c r="AE2101">
        <v>5.78</v>
      </c>
      <c r="AF2101">
        <v>3.8566666666666669</v>
      </c>
      <c r="AG2101" t="str">
        <f>HYPERLINK("https://finance.naver.com/item/fchart.naver?code=217500", "러셀 차트보기")</f>
        <v>러셀 차트보기</v>
      </c>
    </row>
    <row r="2102" spans="1:33" x14ac:dyDescent="0.3">
      <c r="A2102" t="s">
        <v>8435</v>
      </c>
      <c r="B2102" t="s">
        <v>55</v>
      </c>
      <c r="C2102" t="s">
        <v>8436</v>
      </c>
      <c r="D2102">
        <v>305623.09999999998</v>
      </c>
      <c r="E2102" t="s">
        <v>8437</v>
      </c>
      <c r="F2102">
        <v>0</v>
      </c>
      <c r="G2102">
        <v>0.75999999046325684</v>
      </c>
      <c r="H2102">
        <v>0</v>
      </c>
      <c r="I2102">
        <v>0</v>
      </c>
      <c r="J2102" t="s">
        <v>8438</v>
      </c>
      <c r="K2102">
        <v>663</v>
      </c>
      <c r="L2102">
        <v>384</v>
      </c>
      <c r="M2102">
        <v>-42.08</v>
      </c>
      <c r="N2102">
        <v>-4</v>
      </c>
      <c r="O2102">
        <v>-17.55</v>
      </c>
      <c r="P2102">
        <v>-4.8499999999999996</v>
      </c>
      <c r="Q2102">
        <v>-8.85</v>
      </c>
      <c r="R2102">
        <v>-7.34</v>
      </c>
      <c r="S2102">
        <v>-0.32</v>
      </c>
      <c r="T2102">
        <v>1.5</v>
      </c>
      <c r="U2102">
        <v>2</v>
      </c>
      <c r="V2102">
        <v>2.31</v>
      </c>
      <c r="W2102">
        <v>2.96</v>
      </c>
      <c r="X2102">
        <v>1.1599999999999999</v>
      </c>
      <c r="Y2102">
        <v>1.1599999999999999</v>
      </c>
      <c r="Z2102">
        <v>2.67</v>
      </c>
      <c r="AA2102">
        <v>8.7799999999999994</v>
      </c>
      <c r="AB2102">
        <v>2.1</v>
      </c>
      <c r="AC2102">
        <v>2.99</v>
      </c>
      <c r="AD2102">
        <v>6.33</v>
      </c>
      <c r="AE2102">
        <v>0.28000000000000003</v>
      </c>
      <c r="AF2102">
        <v>3.8583333333333329</v>
      </c>
      <c r="AG2102" t="str">
        <f>HYPERLINK("https://finance.naver.com/item/fchart.naver?code=032680", "소프트센 차트보기")</f>
        <v>소프트센 차트보기</v>
      </c>
    </row>
    <row r="2103" spans="1:33" x14ac:dyDescent="0.3">
      <c r="A2103" t="s">
        <v>8439</v>
      </c>
      <c r="B2103" t="s">
        <v>55</v>
      </c>
      <c r="C2103" t="s">
        <v>8440</v>
      </c>
      <c r="D2103">
        <v>341216.05</v>
      </c>
      <c r="E2103" t="s">
        <v>8441</v>
      </c>
      <c r="F2103">
        <v>750</v>
      </c>
      <c r="G2103">
        <v>0.9100000262260437</v>
      </c>
      <c r="H2103">
        <v>7</v>
      </c>
      <c r="I2103">
        <v>0</v>
      </c>
      <c r="J2103" t="s">
        <v>8442</v>
      </c>
      <c r="K2103">
        <v>6370</v>
      </c>
      <c r="L2103">
        <v>5250</v>
      </c>
      <c r="M2103">
        <v>-17.579999999999998</v>
      </c>
      <c r="N2103">
        <v>-9.01</v>
      </c>
      <c r="O2103">
        <v>-24.11</v>
      </c>
      <c r="P2103">
        <v>47.92</v>
      </c>
      <c r="Q2103">
        <v>-3.8</v>
      </c>
      <c r="R2103">
        <v>-7.03</v>
      </c>
      <c r="S2103">
        <v>-6.14</v>
      </c>
      <c r="T2103">
        <v>2.37</v>
      </c>
      <c r="U2103">
        <v>5.37</v>
      </c>
      <c r="V2103">
        <v>6.51</v>
      </c>
      <c r="W2103">
        <v>3.02</v>
      </c>
      <c r="X2103">
        <v>2.91</v>
      </c>
      <c r="Y2103">
        <v>1.6</v>
      </c>
      <c r="Z2103">
        <v>3.8</v>
      </c>
      <c r="AA2103">
        <v>4.49</v>
      </c>
      <c r="AB2103">
        <v>7.36</v>
      </c>
      <c r="AC2103">
        <v>1.26</v>
      </c>
      <c r="AD2103">
        <v>2.42</v>
      </c>
      <c r="AE2103">
        <v>3.84</v>
      </c>
      <c r="AF2103">
        <v>3.8616666666666659</v>
      </c>
      <c r="AG2103" t="str">
        <f>HYPERLINK("https://finance.naver.com/item/fchart.naver?code=472850", "폰드그룹 차트보기")</f>
        <v>폰드그룹 차트보기</v>
      </c>
    </row>
    <row r="2104" spans="1:33" x14ac:dyDescent="0.3">
      <c r="A2104" t="s">
        <v>8443</v>
      </c>
      <c r="B2104" t="s">
        <v>55</v>
      </c>
      <c r="C2104" t="s">
        <v>8444</v>
      </c>
      <c r="D2104">
        <v>15718.1</v>
      </c>
      <c r="E2104" t="s">
        <v>8445</v>
      </c>
      <c r="F2104">
        <v>0</v>
      </c>
      <c r="G2104">
        <v>0.86000001430511475</v>
      </c>
      <c r="H2104">
        <v>0</v>
      </c>
      <c r="I2104">
        <v>0</v>
      </c>
      <c r="J2104" t="s">
        <v>8446</v>
      </c>
      <c r="K2104">
        <v>2480</v>
      </c>
      <c r="L2104">
        <v>1682</v>
      </c>
      <c r="M2104">
        <v>-32.18</v>
      </c>
      <c r="N2104">
        <v>-0.77</v>
      </c>
      <c r="O2104">
        <v>-4.07</v>
      </c>
      <c r="P2104">
        <v>-11.21</v>
      </c>
      <c r="Q2104">
        <v>-22.46</v>
      </c>
      <c r="R2104">
        <v>-13.01</v>
      </c>
      <c r="S2104">
        <v>-18.27</v>
      </c>
      <c r="T2104">
        <v>1.08</v>
      </c>
      <c r="U2104">
        <v>0.81</v>
      </c>
      <c r="V2104">
        <v>3.89</v>
      </c>
      <c r="W2104">
        <v>3.65</v>
      </c>
      <c r="X2104">
        <v>2.46</v>
      </c>
      <c r="Y2104">
        <v>5.84</v>
      </c>
      <c r="Z2104">
        <v>0.71</v>
      </c>
      <c r="AA2104">
        <v>5.0199999999999996</v>
      </c>
      <c r="AB2104">
        <v>2.88</v>
      </c>
      <c r="AC2104">
        <v>6.15</v>
      </c>
      <c r="AD2104">
        <v>5.29</v>
      </c>
      <c r="AE2104">
        <v>3.13</v>
      </c>
      <c r="AF2104">
        <v>3.8633333333333328</v>
      </c>
      <c r="AG2104" t="str">
        <f>HYPERLINK("https://finance.naver.com/item/fchart.naver?code=191410", "육일씨엔에쓰 차트보기")</f>
        <v>육일씨엔에쓰 차트보기</v>
      </c>
    </row>
    <row r="2105" spans="1:33" x14ac:dyDescent="0.3">
      <c r="A2105" t="s">
        <v>8447</v>
      </c>
      <c r="B2105" t="s">
        <v>55</v>
      </c>
      <c r="C2105" t="s">
        <v>8448</v>
      </c>
      <c r="D2105">
        <v>3403654.33</v>
      </c>
      <c r="E2105" t="s">
        <v>8449</v>
      </c>
      <c r="F2105">
        <v>0</v>
      </c>
      <c r="G2105">
        <v>0.73000001907348633</v>
      </c>
      <c r="H2105">
        <v>0</v>
      </c>
      <c r="I2105">
        <v>0</v>
      </c>
      <c r="J2105" t="s">
        <v>8450</v>
      </c>
      <c r="K2105">
        <v>1414</v>
      </c>
      <c r="L2105">
        <v>1404</v>
      </c>
      <c r="M2105">
        <v>-0.71</v>
      </c>
      <c r="N2105">
        <v>43.12</v>
      </c>
      <c r="O2105">
        <v>-6.62</v>
      </c>
      <c r="P2105">
        <v>-7.92</v>
      </c>
      <c r="Q2105">
        <v>-16.48</v>
      </c>
      <c r="R2105">
        <v>8.5399999999999991</v>
      </c>
      <c r="S2105">
        <v>-22.66</v>
      </c>
      <c r="T2105">
        <v>9.34</v>
      </c>
      <c r="U2105">
        <v>8.8800000000000008</v>
      </c>
      <c r="V2105">
        <v>3.01</v>
      </c>
      <c r="W2105">
        <v>3.47</v>
      </c>
      <c r="X2105">
        <v>3.73</v>
      </c>
      <c r="Y2105">
        <v>2.78</v>
      </c>
      <c r="Z2105">
        <v>4.62</v>
      </c>
      <c r="AA2105">
        <v>0.75</v>
      </c>
      <c r="AB2105">
        <v>2.63</v>
      </c>
      <c r="AC2105">
        <v>4.75</v>
      </c>
      <c r="AD2105">
        <v>2.29</v>
      </c>
      <c r="AE2105">
        <v>8.15</v>
      </c>
      <c r="AF2105">
        <v>3.8650000000000002</v>
      </c>
      <c r="AG2105" t="str">
        <f>HYPERLINK("https://finance.naver.com/item/fchart.naver?code=057680", "티사이언티픽 차트보기")</f>
        <v>티사이언티픽 차트보기</v>
      </c>
    </row>
    <row r="2106" spans="1:33" x14ac:dyDescent="0.3">
      <c r="A2106" t="s">
        <v>8451</v>
      </c>
      <c r="B2106" t="s">
        <v>55</v>
      </c>
      <c r="C2106" t="s">
        <v>8452</v>
      </c>
      <c r="D2106">
        <v>149827.51999999999</v>
      </c>
      <c r="E2106" t="s">
        <v>8453</v>
      </c>
      <c r="F2106">
        <v>6.74</v>
      </c>
      <c r="G2106">
        <v>0.81999999284744263</v>
      </c>
      <c r="H2106">
        <v>1422</v>
      </c>
      <c r="I2106">
        <v>2.089999914169312</v>
      </c>
      <c r="J2106" t="s">
        <v>8454</v>
      </c>
      <c r="K2106">
        <v>10080</v>
      </c>
      <c r="L2106">
        <v>9580</v>
      </c>
      <c r="M2106">
        <v>-4.96</v>
      </c>
      <c r="N2106">
        <v>13.11</v>
      </c>
      <c r="O2106">
        <v>1.54</v>
      </c>
      <c r="P2106">
        <v>4.16</v>
      </c>
      <c r="Q2106">
        <v>-10.33</v>
      </c>
      <c r="R2106">
        <v>3.56</v>
      </c>
      <c r="S2106">
        <v>-7.64</v>
      </c>
      <c r="T2106">
        <v>2.95</v>
      </c>
      <c r="U2106">
        <v>1.63</v>
      </c>
      <c r="V2106">
        <v>1.35</v>
      </c>
      <c r="W2106">
        <v>3.23</v>
      </c>
      <c r="X2106">
        <v>2.39</v>
      </c>
      <c r="Y2106">
        <v>0.76</v>
      </c>
      <c r="Z2106">
        <v>4.4400000000000004</v>
      </c>
      <c r="AA2106">
        <v>0.94</v>
      </c>
      <c r="AB2106">
        <v>3.08</v>
      </c>
      <c r="AC2106">
        <v>3.2</v>
      </c>
      <c r="AD2106">
        <v>1.49</v>
      </c>
      <c r="AE2106">
        <v>10.050000000000001</v>
      </c>
      <c r="AF2106">
        <v>3.8666666666666671</v>
      </c>
      <c r="AG2106" t="str">
        <f>HYPERLINK("https://finance.naver.com/item/fchart.naver?code=036890", "진성티이씨 차트보기")</f>
        <v>진성티이씨 차트보기</v>
      </c>
    </row>
    <row r="2107" spans="1:33" x14ac:dyDescent="0.3">
      <c r="A2107" t="s">
        <v>8455</v>
      </c>
      <c r="B2107" t="s">
        <v>34</v>
      </c>
      <c r="C2107" t="s">
        <v>8456</v>
      </c>
      <c r="D2107">
        <v>97698.9</v>
      </c>
      <c r="E2107" t="s">
        <v>8457</v>
      </c>
      <c r="F2107">
        <v>3.64</v>
      </c>
      <c r="G2107">
        <v>1</v>
      </c>
      <c r="H2107">
        <v>954</v>
      </c>
      <c r="I2107">
        <v>0</v>
      </c>
      <c r="J2107" t="s">
        <v>8458</v>
      </c>
      <c r="K2107">
        <v>5350</v>
      </c>
      <c r="L2107">
        <v>3475</v>
      </c>
      <c r="M2107">
        <v>-35.049999999999997</v>
      </c>
      <c r="N2107">
        <v>-2.8</v>
      </c>
      <c r="O2107">
        <v>-6.95</v>
      </c>
      <c r="P2107">
        <v>-0.99</v>
      </c>
      <c r="Q2107">
        <v>-10.69</v>
      </c>
      <c r="R2107">
        <v>-20.59</v>
      </c>
      <c r="S2107">
        <v>10.48</v>
      </c>
      <c r="T2107">
        <v>3.17</v>
      </c>
      <c r="U2107">
        <v>1.1599999999999999</v>
      </c>
      <c r="V2107">
        <v>1.98</v>
      </c>
      <c r="W2107">
        <v>3.63</v>
      </c>
      <c r="X2107">
        <v>2.0099999999999998</v>
      </c>
      <c r="Y2107">
        <v>3.94</v>
      </c>
      <c r="Z2107">
        <v>0.88</v>
      </c>
      <c r="AA2107">
        <v>5.99</v>
      </c>
      <c r="AB2107">
        <v>0.5</v>
      </c>
      <c r="AC2107">
        <v>2.94</v>
      </c>
      <c r="AD2107">
        <v>10.24</v>
      </c>
      <c r="AE2107">
        <v>2.66</v>
      </c>
      <c r="AF2107">
        <v>3.8683333333333341</v>
      </c>
      <c r="AG2107" t="str">
        <f>HYPERLINK("https://finance.naver.com/item/fchart.naver?code=092200", "디아이씨 차트보기")</f>
        <v>디아이씨 차트보기</v>
      </c>
    </row>
    <row r="2108" spans="1:33" x14ac:dyDescent="0.3">
      <c r="A2108" t="s">
        <v>8459</v>
      </c>
      <c r="B2108" t="s">
        <v>55</v>
      </c>
      <c r="C2108" t="s">
        <v>8460</v>
      </c>
      <c r="D2108">
        <v>113033.1</v>
      </c>
      <c r="E2108" t="s">
        <v>8461</v>
      </c>
      <c r="F2108">
        <v>0</v>
      </c>
      <c r="G2108">
        <v>3.5399999618530269</v>
      </c>
      <c r="H2108">
        <v>0</v>
      </c>
      <c r="I2108">
        <v>0</v>
      </c>
      <c r="J2108" t="s">
        <v>8462</v>
      </c>
      <c r="K2108">
        <v>21368</v>
      </c>
      <c r="L2108">
        <v>8600</v>
      </c>
      <c r="M2108">
        <v>-59.75</v>
      </c>
      <c r="N2108">
        <v>-9.57</v>
      </c>
      <c r="O2108">
        <v>-9.23</v>
      </c>
      <c r="P2108">
        <v>10.33</v>
      </c>
      <c r="Q2108">
        <v>-32.72</v>
      </c>
      <c r="R2108">
        <v>-28.38</v>
      </c>
      <c r="S2108">
        <v>-8.81</v>
      </c>
      <c r="T2108">
        <v>3.91</v>
      </c>
      <c r="U2108">
        <v>3.73</v>
      </c>
      <c r="V2108">
        <v>6.49</v>
      </c>
      <c r="W2108">
        <v>7.25</v>
      </c>
      <c r="X2108">
        <v>2.89</v>
      </c>
      <c r="Y2108">
        <v>3.66</v>
      </c>
      <c r="Z2108">
        <v>2.4500000000000002</v>
      </c>
      <c r="AA2108">
        <v>2.4700000000000002</v>
      </c>
      <c r="AB2108">
        <v>1.59</v>
      </c>
      <c r="AC2108">
        <v>4.51</v>
      </c>
      <c r="AD2108">
        <v>9.82</v>
      </c>
      <c r="AE2108">
        <v>2.41</v>
      </c>
      <c r="AF2108">
        <v>3.875</v>
      </c>
      <c r="AG2108" t="str">
        <f>HYPERLINK("https://finance.naver.com/item/fchart.naver?code=432720", "퀄리타스반도체 차트보기")</f>
        <v>퀄리타스반도체 차트보기</v>
      </c>
    </row>
    <row r="2109" spans="1:33" x14ac:dyDescent="0.3">
      <c r="A2109" t="s">
        <v>8463</v>
      </c>
      <c r="B2109" t="s">
        <v>34</v>
      </c>
      <c r="C2109" t="s">
        <v>8464</v>
      </c>
      <c r="D2109">
        <v>143231.57</v>
      </c>
      <c r="E2109" t="s">
        <v>8465</v>
      </c>
      <c r="F2109">
        <v>0</v>
      </c>
      <c r="G2109">
        <v>1.029999971389771</v>
      </c>
      <c r="H2109">
        <v>0</v>
      </c>
      <c r="I2109">
        <v>0.62999999523162842</v>
      </c>
      <c r="J2109" t="s">
        <v>8466</v>
      </c>
      <c r="K2109">
        <v>49550</v>
      </c>
      <c r="L2109">
        <v>31900</v>
      </c>
      <c r="M2109">
        <v>-35.619999999999997</v>
      </c>
      <c r="N2109">
        <v>-12.12</v>
      </c>
      <c r="O2109">
        <v>-6.16</v>
      </c>
      <c r="P2109">
        <v>1.6</v>
      </c>
      <c r="Q2109">
        <v>-0.63</v>
      </c>
      <c r="R2109">
        <v>-29.02</v>
      </c>
      <c r="S2109">
        <v>11.75</v>
      </c>
      <c r="T2109">
        <v>2.59</v>
      </c>
      <c r="U2109">
        <v>3.01</v>
      </c>
      <c r="V2109">
        <v>3.97</v>
      </c>
      <c r="W2109">
        <v>5.2</v>
      </c>
      <c r="X2109">
        <v>2.37</v>
      </c>
      <c r="Y2109">
        <v>3.11</v>
      </c>
      <c r="Z2109">
        <v>4.68</v>
      </c>
      <c r="AA2109">
        <v>2.0499999999999998</v>
      </c>
      <c r="AB2109">
        <v>0.4</v>
      </c>
      <c r="AC2109">
        <v>0.12</v>
      </c>
      <c r="AD2109">
        <v>12.24</v>
      </c>
      <c r="AE2109">
        <v>3.78</v>
      </c>
      <c r="AF2109">
        <v>3.8783333333333339</v>
      </c>
      <c r="AG2109" t="str">
        <f>HYPERLINK("https://finance.naver.com/item/fchart.naver?code=020150", "롯데에너지머티리얼즈 차트보기")</f>
        <v>롯데에너지머티리얼즈 차트보기</v>
      </c>
    </row>
    <row r="2110" spans="1:33" x14ac:dyDescent="0.3">
      <c r="A2110" t="s">
        <v>8467</v>
      </c>
      <c r="B2110" t="s">
        <v>34</v>
      </c>
      <c r="C2110" t="s">
        <v>8468</v>
      </c>
      <c r="D2110">
        <v>916544.43</v>
      </c>
      <c r="E2110" t="s">
        <v>8469</v>
      </c>
      <c r="F2110">
        <v>0</v>
      </c>
      <c r="G2110">
        <v>0.61000001430511475</v>
      </c>
      <c r="H2110">
        <v>0</v>
      </c>
      <c r="I2110">
        <v>0</v>
      </c>
      <c r="J2110" t="s">
        <v>8470</v>
      </c>
      <c r="K2110">
        <v>2145</v>
      </c>
      <c r="L2110">
        <v>1689</v>
      </c>
      <c r="M2110">
        <v>-21.26</v>
      </c>
      <c r="N2110">
        <v>-5.01</v>
      </c>
      <c r="O2110">
        <v>1.33</v>
      </c>
      <c r="P2110">
        <v>-2.9</v>
      </c>
      <c r="Q2110">
        <v>-4.37</v>
      </c>
      <c r="R2110">
        <v>-11.97</v>
      </c>
      <c r="S2110">
        <v>-4.51</v>
      </c>
      <c r="T2110">
        <v>2.2799999999999998</v>
      </c>
      <c r="U2110">
        <v>4.8</v>
      </c>
      <c r="V2110">
        <v>2.8</v>
      </c>
      <c r="W2110">
        <v>2.17</v>
      </c>
      <c r="X2110">
        <v>0.89</v>
      </c>
      <c r="Y2110">
        <v>1.05</v>
      </c>
      <c r="Z2110">
        <v>2.2000000000000002</v>
      </c>
      <c r="AA2110">
        <v>0.28000000000000003</v>
      </c>
      <c r="AB2110">
        <v>1.04</v>
      </c>
      <c r="AC2110">
        <v>2.0099999999999998</v>
      </c>
      <c r="AD2110">
        <v>13.45</v>
      </c>
      <c r="AE2110">
        <v>4.3</v>
      </c>
      <c r="AF2110">
        <v>3.88</v>
      </c>
      <c r="AG2110" t="str">
        <f>HYPERLINK("https://finance.naver.com/item/fchart.naver?code=095720", "웅진씽크빅 차트보기")</f>
        <v>웅진씽크빅 차트보기</v>
      </c>
    </row>
    <row r="2111" spans="1:33" x14ac:dyDescent="0.3">
      <c r="A2111" t="s">
        <v>8471</v>
      </c>
      <c r="B2111" t="s">
        <v>55</v>
      </c>
      <c r="C2111" t="s">
        <v>8472</v>
      </c>
      <c r="D2111">
        <v>481716.38</v>
      </c>
      <c r="E2111" t="s">
        <v>8473</v>
      </c>
      <c r="F2111">
        <v>0</v>
      </c>
      <c r="G2111">
        <v>8.7899999618530273</v>
      </c>
      <c r="H2111">
        <v>0</v>
      </c>
      <c r="I2111">
        <v>0</v>
      </c>
      <c r="J2111" t="s">
        <v>8474</v>
      </c>
      <c r="K2111">
        <v>11550</v>
      </c>
      <c r="L2111">
        <v>14290</v>
      </c>
      <c r="M2111">
        <v>23.72</v>
      </c>
      <c r="N2111">
        <v>8.26</v>
      </c>
      <c r="O2111">
        <v>15.35</v>
      </c>
      <c r="P2111">
        <v>38.18</v>
      </c>
      <c r="Q2111">
        <v>-19.55</v>
      </c>
      <c r="R2111">
        <v>-20.88</v>
      </c>
      <c r="S2111">
        <v>-6.8</v>
      </c>
      <c r="T2111">
        <v>5.4</v>
      </c>
      <c r="U2111">
        <v>3.8</v>
      </c>
      <c r="V2111">
        <v>5.24</v>
      </c>
      <c r="W2111">
        <v>4.42</v>
      </c>
      <c r="X2111">
        <v>4.97</v>
      </c>
      <c r="Y2111">
        <v>3.77</v>
      </c>
      <c r="Z2111">
        <v>1.53</v>
      </c>
      <c r="AA2111">
        <v>4.04</v>
      </c>
      <c r="AB2111">
        <v>7.29</v>
      </c>
      <c r="AC2111">
        <v>4.42</v>
      </c>
      <c r="AD2111">
        <v>4.2</v>
      </c>
      <c r="AE2111">
        <v>1.8</v>
      </c>
      <c r="AF2111">
        <v>3.88</v>
      </c>
      <c r="AG2111" t="str">
        <f>HYPERLINK("https://finance.naver.com/item/fchart.naver?code=396270", "넥스트칩 차트보기")</f>
        <v>넥스트칩 차트보기</v>
      </c>
    </row>
    <row r="2112" spans="1:33" x14ac:dyDescent="0.3">
      <c r="A2112" t="s">
        <v>8475</v>
      </c>
      <c r="B2112" t="s">
        <v>55</v>
      </c>
      <c r="C2112" t="s">
        <v>8476</v>
      </c>
      <c r="D2112">
        <v>201391.57</v>
      </c>
      <c r="E2112" t="s">
        <v>8477</v>
      </c>
      <c r="F2112">
        <v>2.78</v>
      </c>
      <c r="G2112">
        <v>0.74000000953674316</v>
      </c>
      <c r="H2112">
        <v>999</v>
      </c>
      <c r="I2112">
        <v>10.789999961853029</v>
      </c>
      <c r="J2112" t="s">
        <v>8478</v>
      </c>
      <c r="K2112">
        <v>3210</v>
      </c>
      <c r="L2112">
        <v>2780</v>
      </c>
      <c r="M2112">
        <v>-13.4</v>
      </c>
      <c r="N2112">
        <v>6.72</v>
      </c>
      <c r="O2112">
        <v>5.8</v>
      </c>
      <c r="P2112">
        <v>1.4</v>
      </c>
      <c r="Q2112">
        <v>-8.3800000000000008</v>
      </c>
      <c r="R2112">
        <v>-7.14</v>
      </c>
      <c r="S2112">
        <v>1.89</v>
      </c>
      <c r="T2112">
        <v>2.98</v>
      </c>
      <c r="U2112">
        <v>0.81</v>
      </c>
      <c r="V2112">
        <v>1.18</v>
      </c>
      <c r="W2112">
        <v>1.92</v>
      </c>
      <c r="X2112">
        <v>0.97</v>
      </c>
      <c r="Y2112">
        <v>1.95</v>
      </c>
      <c r="Z2112">
        <v>2.2599999999999998</v>
      </c>
      <c r="AA2112">
        <v>7.16</v>
      </c>
      <c r="AB2112">
        <v>1.19</v>
      </c>
      <c r="AC2112">
        <v>4.3600000000000003</v>
      </c>
      <c r="AD2112">
        <v>7.36</v>
      </c>
      <c r="AE2112">
        <v>0.97</v>
      </c>
      <c r="AF2112">
        <v>3.8833333333333329</v>
      </c>
      <c r="AG2112" t="str">
        <f>HYPERLINK("https://finance.naver.com/item/fchart.naver?code=208140", "정다운 차트보기")</f>
        <v>정다운 차트보기</v>
      </c>
    </row>
    <row r="2113" spans="1:33" x14ac:dyDescent="0.3">
      <c r="A2113" t="s">
        <v>8479</v>
      </c>
      <c r="B2113" t="s">
        <v>55</v>
      </c>
      <c r="C2113" t="s">
        <v>8480</v>
      </c>
      <c r="D2113">
        <v>789529.33</v>
      </c>
      <c r="E2113" t="s">
        <v>8481</v>
      </c>
      <c r="F2113">
        <v>22.12</v>
      </c>
      <c r="G2113">
        <v>0.47999998927116388</v>
      </c>
      <c r="H2113">
        <v>59</v>
      </c>
      <c r="I2113">
        <v>0</v>
      </c>
      <c r="J2113" t="s">
        <v>8482</v>
      </c>
      <c r="K2113">
        <v>1635</v>
      </c>
      <c r="L2113">
        <v>1305</v>
      </c>
      <c r="M2113">
        <v>-20.18</v>
      </c>
      <c r="N2113">
        <v>-5.43</v>
      </c>
      <c r="O2113">
        <v>-10.17</v>
      </c>
      <c r="P2113">
        <v>-4.82</v>
      </c>
      <c r="Q2113">
        <v>-14.71</v>
      </c>
      <c r="R2113">
        <v>36.42</v>
      </c>
      <c r="S2113">
        <v>-5.39</v>
      </c>
      <c r="T2113">
        <v>3.28</v>
      </c>
      <c r="U2113">
        <v>1.63</v>
      </c>
      <c r="V2113">
        <v>4.9000000000000004</v>
      </c>
      <c r="W2113">
        <v>4.7300000000000004</v>
      </c>
      <c r="X2113">
        <v>4.91</v>
      </c>
      <c r="Y2113">
        <v>1.38</v>
      </c>
      <c r="Z2113">
        <v>1.66</v>
      </c>
      <c r="AA2113">
        <v>6.24</v>
      </c>
      <c r="AB2113">
        <v>0.98</v>
      </c>
      <c r="AC2113">
        <v>3.11</v>
      </c>
      <c r="AD2113">
        <v>7.42</v>
      </c>
      <c r="AE2113">
        <v>3.91</v>
      </c>
      <c r="AF2113">
        <v>3.8866666666666672</v>
      </c>
      <c r="AG2113" t="str">
        <f>HYPERLINK("https://finance.naver.com/item/fchart.naver?code=061250", "화일약품 차트보기")</f>
        <v>화일약품 차트보기</v>
      </c>
    </row>
    <row r="2114" spans="1:33" x14ac:dyDescent="0.3">
      <c r="A2114" t="s">
        <v>8483</v>
      </c>
      <c r="B2114" t="s">
        <v>55</v>
      </c>
      <c r="C2114" t="s">
        <v>8484</v>
      </c>
      <c r="D2114">
        <v>203229.48</v>
      </c>
      <c r="E2114" t="s">
        <v>8485</v>
      </c>
      <c r="F2114">
        <v>0</v>
      </c>
      <c r="G2114">
        <v>4.3899998664855957</v>
      </c>
      <c r="H2114">
        <v>0</v>
      </c>
      <c r="I2114">
        <v>0</v>
      </c>
      <c r="J2114" t="s">
        <v>8486</v>
      </c>
      <c r="K2114">
        <v>3250</v>
      </c>
      <c r="L2114">
        <v>3530</v>
      </c>
      <c r="M2114">
        <v>8.6199999999999992</v>
      </c>
      <c r="N2114">
        <v>-31.19</v>
      </c>
      <c r="O2114">
        <v>32.549999999999997</v>
      </c>
      <c r="P2114">
        <v>-7.08</v>
      </c>
      <c r="Q2114">
        <v>9.4600000000000009</v>
      </c>
      <c r="R2114">
        <v>43.01</v>
      </c>
      <c r="S2114">
        <v>2.2000000000000002</v>
      </c>
      <c r="T2114">
        <v>5.79</v>
      </c>
      <c r="U2114">
        <v>3.96</v>
      </c>
      <c r="V2114">
        <v>4.12</v>
      </c>
      <c r="W2114">
        <v>7.94</v>
      </c>
      <c r="X2114">
        <v>7.41</v>
      </c>
      <c r="Y2114">
        <v>2.2000000000000002</v>
      </c>
      <c r="Z2114">
        <v>5.39</v>
      </c>
      <c r="AA2114">
        <v>8.2200000000000006</v>
      </c>
      <c r="AB2114">
        <v>1.72</v>
      </c>
      <c r="AC2114">
        <v>1.19</v>
      </c>
      <c r="AD2114">
        <v>5.8</v>
      </c>
      <c r="AE2114">
        <v>1</v>
      </c>
      <c r="AF2114">
        <v>3.8866666666666672</v>
      </c>
      <c r="AG2114" t="str">
        <f>HYPERLINK("https://finance.naver.com/item/fchart.naver?code=294140", "레몬 차트보기")</f>
        <v>레몬 차트보기</v>
      </c>
    </row>
    <row r="2115" spans="1:33" x14ac:dyDescent="0.3">
      <c r="A2115" t="s">
        <v>8487</v>
      </c>
      <c r="B2115" t="s">
        <v>34</v>
      </c>
      <c r="C2115" t="s">
        <v>8488</v>
      </c>
      <c r="D2115">
        <v>35676.14</v>
      </c>
      <c r="E2115" t="s">
        <v>8489</v>
      </c>
      <c r="F2115">
        <v>0</v>
      </c>
      <c r="G2115">
        <v>0.239999994635582</v>
      </c>
      <c r="H2115">
        <v>0</v>
      </c>
      <c r="I2115">
        <v>2.7000000476837158</v>
      </c>
      <c r="J2115" t="s">
        <v>8490</v>
      </c>
      <c r="K2115">
        <v>946</v>
      </c>
      <c r="L2115">
        <v>740</v>
      </c>
      <c r="M2115">
        <v>-21.78</v>
      </c>
      <c r="N2115">
        <v>1.37</v>
      </c>
      <c r="O2115">
        <v>-3.39</v>
      </c>
      <c r="P2115">
        <v>-2.63</v>
      </c>
      <c r="Q2115">
        <v>-4.99</v>
      </c>
      <c r="R2115">
        <v>-7.24</v>
      </c>
      <c r="S2115">
        <v>-3.51</v>
      </c>
      <c r="T2115">
        <v>1.05</v>
      </c>
      <c r="U2115">
        <v>0.79</v>
      </c>
      <c r="V2115">
        <v>1.57</v>
      </c>
      <c r="W2115">
        <v>1.96</v>
      </c>
      <c r="X2115">
        <v>0.82</v>
      </c>
      <c r="Y2115">
        <v>0.75</v>
      </c>
      <c r="Z2115">
        <v>1.3</v>
      </c>
      <c r="AA2115">
        <v>4.29</v>
      </c>
      <c r="AB2115">
        <v>1.68</v>
      </c>
      <c r="AC2115">
        <v>2.5499999999999998</v>
      </c>
      <c r="AD2115">
        <v>8.83</v>
      </c>
      <c r="AE2115">
        <v>4.68</v>
      </c>
      <c r="AF2115">
        <v>3.8883333333333332</v>
      </c>
      <c r="AG2115" t="str">
        <f>HYPERLINK("https://finance.naver.com/item/fchart.naver?code=006200", "한국전자홀딩스 차트보기")</f>
        <v>한국전자홀딩스 차트보기</v>
      </c>
    </row>
    <row r="2116" spans="1:33" x14ac:dyDescent="0.3">
      <c r="A2116" t="s">
        <v>8491</v>
      </c>
      <c r="B2116" t="s">
        <v>55</v>
      </c>
      <c r="C2116" t="s">
        <v>8492</v>
      </c>
      <c r="D2116">
        <v>125563.48</v>
      </c>
      <c r="E2116" t="s">
        <v>8493</v>
      </c>
      <c r="F2116">
        <v>0</v>
      </c>
      <c r="G2116">
        <v>0.30000001192092901</v>
      </c>
      <c r="H2116">
        <v>0</v>
      </c>
      <c r="I2116">
        <v>0</v>
      </c>
      <c r="J2116" t="s">
        <v>8494</v>
      </c>
      <c r="K2116">
        <v>466</v>
      </c>
      <c r="L2116">
        <v>328</v>
      </c>
      <c r="M2116">
        <v>-29.61</v>
      </c>
      <c r="N2116">
        <v>-1.8</v>
      </c>
      <c r="O2116">
        <v>-5.0999999999999996</v>
      </c>
      <c r="P2116">
        <v>-9.33</v>
      </c>
      <c r="Q2116">
        <v>0.26</v>
      </c>
      <c r="R2116">
        <v>-5.76</v>
      </c>
      <c r="S2116">
        <v>-7.78</v>
      </c>
      <c r="T2116">
        <v>0.85</v>
      </c>
      <c r="U2116">
        <v>1.78</v>
      </c>
      <c r="V2116">
        <v>1.78</v>
      </c>
      <c r="W2116">
        <v>3.63</v>
      </c>
      <c r="X2116">
        <v>0.88</v>
      </c>
      <c r="Y2116">
        <v>1.2</v>
      </c>
      <c r="Z2116">
        <v>2.12</v>
      </c>
      <c r="AA2116">
        <v>2.87</v>
      </c>
      <c r="AB2116">
        <v>5.24</v>
      </c>
      <c r="AC2116">
        <v>7.0000000000000007E-2</v>
      </c>
      <c r="AD2116">
        <v>6.55</v>
      </c>
      <c r="AE2116">
        <v>6.48</v>
      </c>
      <c r="AF2116">
        <v>3.8883333333333341</v>
      </c>
      <c r="AG2116" t="str">
        <f>HYPERLINK("https://finance.naver.com/item/fchart.naver?code=083640", "인콘 차트보기")</f>
        <v>인콘 차트보기</v>
      </c>
    </row>
    <row r="2117" spans="1:33" x14ac:dyDescent="0.3">
      <c r="A2117" t="s">
        <v>8495</v>
      </c>
      <c r="B2117" t="s">
        <v>34</v>
      </c>
      <c r="C2117" t="s">
        <v>8496</v>
      </c>
      <c r="D2117">
        <v>638</v>
      </c>
      <c r="E2117" t="s">
        <v>8497</v>
      </c>
      <c r="F2117">
        <v>0</v>
      </c>
      <c r="G2117">
        <v>0.2099999934434891</v>
      </c>
      <c r="H2117">
        <v>0</v>
      </c>
      <c r="I2117">
        <v>2.5699999332427979</v>
      </c>
      <c r="J2117" t="s">
        <v>8498</v>
      </c>
      <c r="K2117">
        <v>43100</v>
      </c>
      <c r="L2117">
        <v>38850</v>
      </c>
      <c r="M2117">
        <v>-9.86</v>
      </c>
      <c r="N2117">
        <v>-2.2599999999999998</v>
      </c>
      <c r="O2117">
        <v>-5.92</v>
      </c>
      <c r="P2117">
        <v>0.95</v>
      </c>
      <c r="Q2117">
        <v>-1.53</v>
      </c>
      <c r="R2117">
        <v>2.41</v>
      </c>
      <c r="S2117">
        <v>-4.49</v>
      </c>
      <c r="T2117">
        <v>0.52</v>
      </c>
      <c r="U2117">
        <v>0.87</v>
      </c>
      <c r="V2117">
        <v>0.51</v>
      </c>
      <c r="W2117">
        <v>1.25</v>
      </c>
      <c r="X2117">
        <v>0.56999999999999995</v>
      </c>
      <c r="Y2117">
        <v>0.92</v>
      </c>
      <c r="Z2117">
        <v>4.3499999999999996</v>
      </c>
      <c r="AA2117">
        <v>6.8</v>
      </c>
      <c r="AB2117">
        <v>1.86</v>
      </c>
      <c r="AC2117">
        <v>1.22</v>
      </c>
      <c r="AD2117">
        <v>4.2300000000000004</v>
      </c>
      <c r="AE2117">
        <v>4.88</v>
      </c>
      <c r="AF2117">
        <v>3.89</v>
      </c>
      <c r="AG2117" t="str">
        <f>HYPERLINK("https://finance.naver.com/item/fchart.naver?code=004890", "동일산업 차트보기")</f>
        <v>동일산업 차트보기</v>
      </c>
    </row>
    <row r="2118" spans="1:33" x14ac:dyDescent="0.3">
      <c r="A2118" t="s">
        <v>8499</v>
      </c>
      <c r="B2118" t="s">
        <v>55</v>
      </c>
      <c r="C2118" t="s">
        <v>8500</v>
      </c>
      <c r="D2118">
        <v>7873.43</v>
      </c>
      <c r="E2118" t="s">
        <v>8501</v>
      </c>
      <c r="F2118">
        <v>5.19</v>
      </c>
      <c r="G2118">
        <v>0.60000002384185791</v>
      </c>
      <c r="H2118">
        <v>4834</v>
      </c>
      <c r="I2118">
        <v>2.9900000095367432</v>
      </c>
      <c r="J2118" t="s">
        <v>8502</v>
      </c>
      <c r="K2118">
        <v>28550</v>
      </c>
      <c r="L2118">
        <v>25100</v>
      </c>
      <c r="M2118">
        <v>-12.08</v>
      </c>
      <c r="N2118">
        <v>0</v>
      </c>
      <c r="O2118">
        <v>-3.27</v>
      </c>
      <c r="P2118">
        <v>-0.95</v>
      </c>
      <c r="Q2118">
        <v>-5.86</v>
      </c>
      <c r="R2118">
        <v>0.18</v>
      </c>
      <c r="S2118">
        <v>-3.62</v>
      </c>
      <c r="T2118">
        <v>0.61</v>
      </c>
      <c r="U2118">
        <v>0.48</v>
      </c>
      <c r="V2118">
        <v>0.64</v>
      </c>
      <c r="W2118">
        <v>1.47</v>
      </c>
      <c r="X2118">
        <v>0.44</v>
      </c>
      <c r="Y2118">
        <v>0.34</v>
      </c>
      <c r="Z2118">
        <v>0</v>
      </c>
      <c r="AA2118">
        <v>6.81</v>
      </c>
      <c r="AB2118">
        <v>1.48</v>
      </c>
      <c r="AC2118">
        <v>3.99</v>
      </c>
      <c r="AD2118">
        <v>0.41</v>
      </c>
      <c r="AE2118">
        <v>10.65</v>
      </c>
      <c r="AF2118">
        <v>3.89</v>
      </c>
      <c r="AG2118" t="str">
        <f>HYPERLINK("https://finance.naver.com/item/fchart.naver?code=023910", "대한약품 차트보기")</f>
        <v>대한약품 차트보기</v>
      </c>
    </row>
    <row r="2119" spans="1:33" x14ac:dyDescent="0.3">
      <c r="A2119" t="s">
        <v>8503</v>
      </c>
      <c r="B2119" t="s">
        <v>34</v>
      </c>
      <c r="C2119" t="s">
        <v>8504</v>
      </c>
      <c r="D2119">
        <v>1048754.3799999999</v>
      </c>
      <c r="E2119" t="s">
        <v>8505</v>
      </c>
      <c r="F2119">
        <v>4.6399999999999997</v>
      </c>
      <c r="G2119">
        <v>1.0099999904632571</v>
      </c>
      <c r="H2119">
        <v>3846</v>
      </c>
      <c r="I2119">
        <v>0</v>
      </c>
      <c r="J2119" t="s">
        <v>8506</v>
      </c>
      <c r="K2119">
        <v>24900</v>
      </c>
      <c r="L2119">
        <v>17860</v>
      </c>
      <c r="M2119">
        <v>-28.27</v>
      </c>
      <c r="N2119">
        <v>0.34</v>
      </c>
      <c r="O2119">
        <v>-17.510000000000002</v>
      </c>
      <c r="P2119">
        <v>-12</v>
      </c>
      <c r="Q2119">
        <v>-10.74</v>
      </c>
      <c r="R2119">
        <v>18.71</v>
      </c>
      <c r="S2119">
        <v>0.84</v>
      </c>
      <c r="T2119">
        <v>2.02</v>
      </c>
      <c r="U2119">
        <v>2.23</v>
      </c>
      <c r="V2119">
        <v>2.73</v>
      </c>
      <c r="W2119">
        <v>3.14</v>
      </c>
      <c r="X2119">
        <v>2.63</v>
      </c>
      <c r="Y2119">
        <v>2.08</v>
      </c>
      <c r="Z2119">
        <v>0.17</v>
      </c>
      <c r="AA2119">
        <v>7.85</v>
      </c>
      <c r="AB2119">
        <v>4.4000000000000004</v>
      </c>
      <c r="AC2119">
        <v>3.42</v>
      </c>
      <c r="AD2119">
        <v>7.11</v>
      </c>
      <c r="AE2119">
        <v>0.4</v>
      </c>
      <c r="AF2119">
        <v>3.8916666666666662</v>
      </c>
      <c r="AG2119" t="str">
        <f>HYPERLINK("https://finance.naver.com/item/fchart.naver?code=028050", "삼성E&amp;A 차트보기")</f>
        <v>삼성E&amp;A 차트보기</v>
      </c>
    </row>
    <row r="2120" spans="1:33" x14ac:dyDescent="0.3">
      <c r="A2120" t="s">
        <v>8507</v>
      </c>
      <c r="B2120" t="s">
        <v>34</v>
      </c>
      <c r="C2120" t="s">
        <v>8508</v>
      </c>
      <c r="D2120">
        <v>47896.1</v>
      </c>
      <c r="E2120" t="s">
        <v>8509</v>
      </c>
      <c r="F2120">
        <v>8.14</v>
      </c>
      <c r="G2120">
        <v>1.049999952316284</v>
      </c>
      <c r="H2120">
        <v>1897</v>
      </c>
      <c r="I2120">
        <v>3.75</v>
      </c>
      <c r="J2120" t="s">
        <v>8510</v>
      </c>
      <c r="K2120">
        <v>20400</v>
      </c>
      <c r="L2120">
        <v>15450</v>
      </c>
      <c r="M2120">
        <v>-24.26</v>
      </c>
      <c r="N2120">
        <v>0.91</v>
      </c>
      <c r="O2120">
        <v>-14.21</v>
      </c>
      <c r="P2120">
        <v>8.75</v>
      </c>
      <c r="Q2120">
        <v>-17.41</v>
      </c>
      <c r="R2120">
        <v>-2.5</v>
      </c>
      <c r="S2120">
        <v>-15.27</v>
      </c>
      <c r="T2120">
        <v>2.63</v>
      </c>
      <c r="U2120">
        <v>2.08</v>
      </c>
      <c r="V2120">
        <v>2.2000000000000002</v>
      </c>
      <c r="W2120">
        <v>3.78</v>
      </c>
      <c r="X2120">
        <v>3.08</v>
      </c>
      <c r="Y2120">
        <v>2.25</v>
      </c>
      <c r="Z2120">
        <v>0.35</v>
      </c>
      <c r="AA2120">
        <v>6.83</v>
      </c>
      <c r="AB2120">
        <v>3.98</v>
      </c>
      <c r="AC2120">
        <v>4.6100000000000003</v>
      </c>
      <c r="AD2120">
        <v>0.81</v>
      </c>
      <c r="AE2120">
        <v>6.79</v>
      </c>
      <c r="AF2120">
        <v>3.895</v>
      </c>
      <c r="AG2120" t="str">
        <f>HYPERLINK("https://finance.naver.com/item/fchart.naver?code=018250", "애경산업 차트보기")</f>
        <v>애경산업 차트보기</v>
      </c>
    </row>
    <row r="2121" spans="1:33" x14ac:dyDescent="0.3">
      <c r="A2121" t="s">
        <v>8511</v>
      </c>
      <c r="B2121" t="s">
        <v>34</v>
      </c>
      <c r="C2121" t="s">
        <v>8512</v>
      </c>
      <c r="D2121">
        <v>940891.14</v>
      </c>
      <c r="E2121" t="s">
        <v>8513</v>
      </c>
      <c r="F2121">
        <v>0</v>
      </c>
      <c r="G2121">
        <v>1.2300000190734861</v>
      </c>
      <c r="H2121">
        <v>0</v>
      </c>
      <c r="I2121">
        <v>0</v>
      </c>
      <c r="J2121" t="s">
        <v>8514</v>
      </c>
      <c r="K2121">
        <v>1203</v>
      </c>
      <c r="L2121">
        <v>898</v>
      </c>
      <c r="M2121">
        <v>-25.35</v>
      </c>
      <c r="N2121">
        <v>-2.6</v>
      </c>
      <c r="O2121">
        <v>-2.73</v>
      </c>
      <c r="P2121">
        <v>-4.8600000000000003</v>
      </c>
      <c r="Q2121">
        <v>-5.32</v>
      </c>
      <c r="R2121">
        <v>-5.99</v>
      </c>
      <c r="S2121">
        <v>-4.5</v>
      </c>
      <c r="T2121">
        <v>0.91</v>
      </c>
      <c r="U2121">
        <v>0.69</v>
      </c>
      <c r="V2121">
        <v>1.3</v>
      </c>
      <c r="W2121">
        <v>0.92</v>
      </c>
      <c r="X2121">
        <v>1.23</v>
      </c>
      <c r="Y2121">
        <v>2.08</v>
      </c>
      <c r="Z2121">
        <v>2.86</v>
      </c>
      <c r="AA2121">
        <v>3.96</v>
      </c>
      <c r="AB2121">
        <v>3.74</v>
      </c>
      <c r="AC2121">
        <v>5.78</v>
      </c>
      <c r="AD2121">
        <v>4.87</v>
      </c>
      <c r="AE2121">
        <v>2.16</v>
      </c>
      <c r="AF2121">
        <v>3.895</v>
      </c>
      <c r="AG2121" t="str">
        <f>HYPERLINK("https://finance.naver.com/item/fchart.naver?code=027740", "마니커 차트보기")</f>
        <v>마니커 차트보기</v>
      </c>
    </row>
    <row r="2122" spans="1:33" x14ac:dyDescent="0.3">
      <c r="A2122" t="s">
        <v>8515</v>
      </c>
      <c r="B2122" t="s">
        <v>34</v>
      </c>
      <c r="C2122" t="s">
        <v>8516</v>
      </c>
      <c r="D2122">
        <v>25219.43</v>
      </c>
      <c r="E2122" t="s">
        <v>8517</v>
      </c>
      <c r="F2122">
        <v>0</v>
      </c>
      <c r="G2122">
        <v>0</v>
      </c>
      <c r="H2122">
        <v>0</v>
      </c>
      <c r="I2122">
        <v>1.8999999761581421</v>
      </c>
      <c r="J2122" t="s">
        <v>8518</v>
      </c>
      <c r="K2122">
        <v>75400</v>
      </c>
      <c r="L2122">
        <v>107700</v>
      </c>
      <c r="M2122">
        <v>42.84</v>
      </c>
      <c r="N2122">
        <v>10.8</v>
      </c>
      <c r="O2122">
        <v>29.26</v>
      </c>
      <c r="P2122">
        <v>3.21</v>
      </c>
      <c r="Q2122">
        <v>-20.7</v>
      </c>
      <c r="R2122">
        <v>15.91</v>
      </c>
      <c r="S2122">
        <v>4.04</v>
      </c>
      <c r="T2122">
        <v>3.37</v>
      </c>
      <c r="U2122">
        <v>3.25</v>
      </c>
      <c r="V2122">
        <v>3.12</v>
      </c>
      <c r="W2122">
        <v>3.5</v>
      </c>
      <c r="X2122">
        <v>5.83</v>
      </c>
      <c r="Y2122">
        <v>2.67</v>
      </c>
      <c r="Z2122">
        <v>3.2</v>
      </c>
      <c r="AA2122">
        <v>9</v>
      </c>
      <c r="AB2122">
        <v>1.03</v>
      </c>
      <c r="AC2122">
        <v>5.91</v>
      </c>
      <c r="AD2122">
        <v>2.73</v>
      </c>
      <c r="AE2122">
        <v>1.51</v>
      </c>
      <c r="AF2122">
        <v>3.8966666666666669</v>
      </c>
      <c r="AG2122" t="str">
        <f>HYPERLINK("https://finance.naver.com/item/fchart.naver?code=000155", "두산우 차트보기")</f>
        <v>두산우 차트보기</v>
      </c>
    </row>
    <row r="2123" spans="1:33" x14ac:dyDescent="0.3">
      <c r="A2123" t="s">
        <v>8519</v>
      </c>
      <c r="B2123" t="s">
        <v>55</v>
      </c>
      <c r="C2123" t="s">
        <v>8520</v>
      </c>
      <c r="D2123">
        <v>16277.24</v>
      </c>
      <c r="E2123" t="s">
        <v>8521</v>
      </c>
      <c r="F2123">
        <v>16.28</v>
      </c>
      <c r="G2123">
        <v>1.279999971389771</v>
      </c>
      <c r="H2123">
        <v>473</v>
      </c>
      <c r="I2123">
        <v>2.5999999046325679</v>
      </c>
      <c r="J2123" t="s">
        <v>8522</v>
      </c>
      <c r="K2123">
        <v>7140</v>
      </c>
      <c r="L2123">
        <v>7700</v>
      </c>
      <c r="M2123">
        <v>7.84</v>
      </c>
      <c r="N2123">
        <v>4.05</v>
      </c>
      <c r="O2123">
        <v>3.79</v>
      </c>
      <c r="P2123">
        <v>3.4</v>
      </c>
      <c r="Q2123">
        <v>-1.74</v>
      </c>
      <c r="R2123">
        <v>-6.13</v>
      </c>
      <c r="S2123">
        <v>0.82</v>
      </c>
      <c r="T2123">
        <v>0.85</v>
      </c>
      <c r="U2123">
        <v>0.6</v>
      </c>
      <c r="V2123">
        <v>0.81</v>
      </c>
      <c r="W2123">
        <v>1.67</v>
      </c>
      <c r="X2123">
        <v>1.07</v>
      </c>
      <c r="Y2123">
        <v>0.61</v>
      </c>
      <c r="Z2123">
        <v>4.76</v>
      </c>
      <c r="AA2123">
        <v>6.32</v>
      </c>
      <c r="AB2123">
        <v>4.2</v>
      </c>
      <c r="AC2123">
        <v>1.04</v>
      </c>
      <c r="AD2123">
        <v>5.73</v>
      </c>
      <c r="AE2123">
        <v>1.34</v>
      </c>
      <c r="AF2123">
        <v>3.898333333333333</v>
      </c>
      <c r="AG2123" t="str">
        <f>HYPERLINK("https://finance.naver.com/item/fchart.naver?code=068930", "디지털대성 차트보기")</f>
        <v>디지털대성 차트보기</v>
      </c>
    </row>
    <row r="2124" spans="1:33" x14ac:dyDescent="0.3">
      <c r="A2124" t="s">
        <v>8523</v>
      </c>
      <c r="B2124" t="s">
        <v>55</v>
      </c>
      <c r="C2124" t="s">
        <v>8524</v>
      </c>
      <c r="D2124">
        <v>179806.14</v>
      </c>
      <c r="E2124" t="s">
        <v>8525</v>
      </c>
      <c r="F2124">
        <v>0</v>
      </c>
      <c r="G2124">
        <v>2.0499999523162842</v>
      </c>
      <c r="H2124">
        <v>0</v>
      </c>
      <c r="I2124">
        <v>0</v>
      </c>
      <c r="J2124" t="s">
        <v>8526</v>
      </c>
      <c r="K2124">
        <v>28450</v>
      </c>
      <c r="L2124">
        <v>14990</v>
      </c>
      <c r="M2124">
        <v>-47.31</v>
      </c>
      <c r="N2124">
        <v>17.940000000000001</v>
      </c>
      <c r="O2124">
        <v>-6.16</v>
      </c>
      <c r="P2124">
        <v>-6.17</v>
      </c>
      <c r="Q2124">
        <v>0.45</v>
      </c>
      <c r="R2124">
        <v>-18.66</v>
      </c>
      <c r="S2124">
        <v>-14.24</v>
      </c>
      <c r="T2124">
        <v>4.84</v>
      </c>
      <c r="U2124">
        <v>2.92</v>
      </c>
      <c r="V2124">
        <v>5.33</v>
      </c>
      <c r="W2124">
        <v>7.06</v>
      </c>
      <c r="X2124">
        <v>1.83</v>
      </c>
      <c r="Y2124">
        <v>2.31</v>
      </c>
      <c r="Z2124">
        <v>3.71</v>
      </c>
      <c r="AA2124">
        <v>2.11</v>
      </c>
      <c r="AB2124">
        <v>1.1599999999999999</v>
      </c>
      <c r="AC2124">
        <v>0.06</v>
      </c>
      <c r="AD2124">
        <v>10.199999999999999</v>
      </c>
      <c r="AE2124">
        <v>6.16</v>
      </c>
      <c r="AF2124">
        <v>3.9</v>
      </c>
      <c r="AG2124" t="str">
        <f>HYPERLINK("https://finance.naver.com/item/fchart.naver?code=047560", "이스트소프트 차트보기")</f>
        <v>이스트소프트 차트보기</v>
      </c>
    </row>
    <row r="2125" spans="1:33" x14ac:dyDescent="0.3">
      <c r="A2125" t="s">
        <v>8527</v>
      </c>
      <c r="B2125" t="s">
        <v>55</v>
      </c>
      <c r="C2125" t="s">
        <v>8528</v>
      </c>
      <c r="D2125">
        <v>122864.62</v>
      </c>
      <c r="E2125" t="s">
        <v>8529</v>
      </c>
      <c r="F2125">
        <v>0</v>
      </c>
      <c r="G2125">
        <v>1.379999995231628</v>
      </c>
      <c r="H2125">
        <v>0</v>
      </c>
      <c r="I2125">
        <v>0</v>
      </c>
      <c r="J2125" t="s">
        <v>8530</v>
      </c>
      <c r="K2125">
        <v>4300</v>
      </c>
      <c r="L2125">
        <v>3535</v>
      </c>
      <c r="M2125">
        <v>-17.79</v>
      </c>
      <c r="N2125">
        <v>-9.36</v>
      </c>
      <c r="O2125">
        <v>-8.82</v>
      </c>
      <c r="P2125">
        <v>-1.1000000000000001</v>
      </c>
      <c r="Q2125">
        <v>-24.8</v>
      </c>
      <c r="R2125">
        <v>-24.47</v>
      </c>
      <c r="S2125">
        <v>40.97</v>
      </c>
      <c r="T2125">
        <v>2.73</v>
      </c>
      <c r="U2125">
        <v>3.11</v>
      </c>
      <c r="V2125">
        <v>2.52</v>
      </c>
      <c r="W2125">
        <v>3.98</v>
      </c>
      <c r="X2125">
        <v>4.3899999999999997</v>
      </c>
      <c r="Y2125">
        <v>8.35</v>
      </c>
      <c r="Z2125">
        <v>3.43</v>
      </c>
      <c r="AA2125">
        <v>2.84</v>
      </c>
      <c r="AB2125">
        <v>0.44</v>
      </c>
      <c r="AC2125">
        <v>6.23</v>
      </c>
      <c r="AD2125">
        <v>5.57</v>
      </c>
      <c r="AE2125">
        <v>4.91</v>
      </c>
      <c r="AF2125">
        <v>3.9033333333333342</v>
      </c>
      <c r="AG2125" t="str">
        <f>HYPERLINK("https://finance.naver.com/item/fchart.naver?code=103840", "우양 차트보기")</f>
        <v>우양 차트보기</v>
      </c>
    </row>
    <row r="2126" spans="1:33" x14ac:dyDescent="0.3">
      <c r="A2126" t="s">
        <v>8531</v>
      </c>
      <c r="B2126" t="s">
        <v>55</v>
      </c>
      <c r="C2126" t="s">
        <v>8532</v>
      </c>
      <c r="D2126">
        <v>33103.24</v>
      </c>
      <c r="E2126" t="s">
        <v>8533</v>
      </c>
      <c r="F2126">
        <v>7.01</v>
      </c>
      <c r="G2126">
        <v>0.79000002145767212</v>
      </c>
      <c r="H2126">
        <v>3316</v>
      </c>
      <c r="I2126">
        <v>0</v>
      </c>
      <c r="J2126" t="s">
        <v>8534</v>
      </c>
      <c r="K2126">
        <v>26400</v>
      </c>
      <c r="L2126">
        <v>23250</v>
      </c>
      <c r="M2126">
        <v>-11.93</v>
      </c>
      <c r="N2126">
        <v>-6.44</v>
      </c>
      <c r="O2126">
        <v>4.07</v>
      </c>
      <c r="P2126">
        <v>-12.41</v>
      </c>
      <c r="Q2126">
        <v>9.66</v>
      </c>
      <c r="R2126">
        <v>-3.35</v>
      </c>
      <c r="S2126">
        <v>12.09</v>
      </c>
      <c r="T2126">
        <v>1.77</v>
      </c>
      <c r="U2126">
        <v>1.33</v>
      </c>
      <c r="V2126">
        <v>2.44</v>
      </c>
      <c r="W2126">
        <v>3.21</v>
      </c>
      <c r="X2126">
        <v>2.0499999999999998</v>
      </c>
      <c r="Y2126">
        <v>1.73</v>
      </c>
      <c r="Z2126">
        <v>3.64</v>
      </c>
      <c r="AA2126">
        <v>3.06</v>
      </c>
      <c r="AB2126">
        <v>5.09</v>
      </c>
      <c r="AC2126">
        <v>3.01</v>
      </c>
      <c r="AD2126">
        <v>1.63</v>
      </c>
      <c r="AE2126">
        <v>6.99</v>
      </c>
      <c r="AF2126">
        <v>3.9033333333333342</v>
      </c>
      <c r="AG2126" t="str">
        <f>HYPERLINK("https://finance.naver.com/item/fchart.naver?code=236200", "슈프리마 차트보기")</f>
        <v>슈프리마 차트보기</v>
      </c>
    </row>
    <row r="2127" spans="1:33" x14ac:dyDescent="0.3">
      <c r="A2127" t="s">
        <v>8535</v>
      </c>
      <c r="B2127" t="s">
        <v>55</v>
      </c>
      <c r="C2127" t="s">
        <v>8536</v>
      </c>
      <c r="D2127">
        <v>34967.050000000003</v>
      </c>
      <c r="E2127" t="s">
        <v>8537</v>
      </c>
      <c r="F2127">
        <v>0</v>
      </c>
      <c r="G2127">
        <v>0.57999998331069946</v>
      </c>
      <c r="H2127">
        <v>0</v>
      </c>
      <c r="I2127">
        <v>1.0199999809265139</v>
      </c>
      <c r="J2127" t="s">
        <v>8538</v>
      </c>
      <c r="K2127">
        <v>12310</v>
      </c>
      <c r="L2127">
        <v>4915</v>
      </c>
      <c r="M2127">
        <v>-60.07</v>
      </c>
      <c r="N2127">
        <v>-3.44</v>
      </c>
      <c r="O2127">
        <v>-9.0299999999999994</v>
      </c>
      <c r="P2127">
        <v>0.52</v>
      </c>
      <c r="Q2127">
        <v>-26.74</v>
      </c>
      <c r="R2127">
        <v>-16.28</v>
      </c>
      <c r="S2127">
        <v>-16.239999999999998</v>
      </c>
      <c r="T2127">
        <v>2.89</v>
      </c>
      <c r="U2127">
        <v>2.61</v>
      </c>
      <c r="V2127">
        <v>4.0999999999999996</v>
      </c>
      <c r="W2127">
        <v>5.43</v>
      </c>
      <c r="X2127">
        <v>2.69</v>
      </c>
      <c r="Y2127">
        <v>2.11</v>
      </c>
      <c r="Z2127">
        <v>1.19</v>
      </c>
      <c r="AA2127">
        <v>3.46</v>
      </c>
      <c r="AB2127">
        <v>0.13</v>
      </c>
      <c r="AC2127">
        <v>4.92</v>
      </c>
      <c r="AD2127">
        <v>6.05</v>
      </c>
      <c r="AE2127">
        <v>7.7</v>
      </c>
      <c r="AF2127">
        <v>3.9083333333333332</v>
      </c>
      <c r="AG2127" t="str">
        <f>HYPERLINK("https://finance.naver.com/item/fchart.naver?code=036010", "아비코전자 차트보기")</f>
        <v>아비코전자 차트보기</v>
      </c>
    </row>
    <row r="2128" spans="1:33" x14ac:dyDescent="0.3">
      <c r="A2128" t="s">
        <v>8539</v>
      </c>
      <c r="B2128" t="s">
        <v>34</v>
      </c>
      <c r="C2128" t="s">
        <v>8540</v>
      </c>
      <c r="D2128">
        <v>255013</v>
      </c>
      <c r="E2128" t="s">
        <v>8541</v>
      </c>
      <c r="F2128">
        <v>2.82</v>
      </c>
      <c r="G2128">
        <v>0.34999999403953552</v>
      </c>
      <c r="H2128">
        <v>2342</v>
      </c>
      <c r="I2128">
        <v>3.029999971389771</v>
      </c>
      <c r="J2128" t="s">
        <v>8542</v>
      </c>
      <c r="K2128">
        <v>6930</v>
      </c>
      <c r="L2128">
        <v>6600</v>
      </c>
      <c r="M2128">
        <v>-4.76</v>
      </c>
      <c r="N2128">
        <v>-2.37</v>
      </c>
      <c r="O2128">
        <v>3.33</v>
      </c>
      <c r="P2128">
        <v>16.75</v>
      </c>
      <c r="Q2128">
        <v>-10.02</v>
      </c>
      <c r="R2128">
        <v>-2.48</v>
      </c>
      <c r="S2128">
        <v>-9.82</v>
      </c>
      <c r="T2128">
        <v>1.7</v>
      </c>
      <c r="U2128">
        <v>1.73</v>
      </c>
      <c r="V2128">
        <v>2.36</v>
      </c>
      <c r="W2128">
        <v>2.79</v>
      </c>
      <c r="X2128">
        <v>1.54</v>
      </c>
      <c r="Y2128">
        <v>1.25</v>
      </c>
      <c r="Z2128">
        <v>1.39</v>
      </c>
      <c r="AA2128">
        <v>1.92</v>
      </c>
      <c r="AB2128">
        <v>7.1</v>
      </c>
      <c r="AC2128">
        <v>3.59</v>
      </c>
      <c r="AD2128">
        <v>1.61</v>
      </c>
      <c r="AE2128">
        <v>7.86</v>
      </c>
      <c r="AF2128">
        <v>3.9116666666666671</v>
      </c>
      <c r="AG2128" t="str">
        <f>HYPERLINK("https://finance.naver.com/item/fchart.naver?code=016380", "KG스틸 차트보기")</f>
        <v>KG스틸 차트보기</v>
      </c>
    </row>
    <row r="2129" spans="1:33" x14ac:dyDescent="0.3">
      <c r="A2129" t="s">
        <v>8543</v>
      </c>
      <c r="B2129" t="s">
        <v>34</v>
      </c>
      <c r="C2129" t="s">
        <v>8544</v>
      </c>
      <c r="D2129">
        <v>633991.76</v>
      </c>
      <c r="E2129" t="s">
        <v>8545</v>
      </c>
      <c r="F2129">
        <v>0</v>
      </c>
      <c r="G2129">
        <v>11.27999973297119</v>
      </c>
      <c r="H2129">
        <v>0</v>
      </c>
      <c r="I2129">
        <v>0</v>
      </c>
      <c r="J2129" t="s">
        <v>8546</v>
      </c>
      <c r="K2129">
        <v>96700</v>
      </c>
      <c r="L2129">
        <v>38100</v>
      </c>
      <c r="M2129">
        <v>-60.6</v>
      </c>
      <c r="N2129">
        <v>-13.01</v>
      </c>
      <c r="O2129">
        <v>-19.260000000000002</v>
      </c>
      <c r="P2129">
        <v>10.45</v>
      </c>
      <c r="Q2129">
        <v>-32.31</v>
      </c>
      <c r="R2129">
        <v>-20.12</v>
      </c>
      <c r="S2129">
        <v>5.39</v>
      </c>
      <c r="T2129">
        <v>4.76</v>
      </c>
      <c r="U2129">
        <v>5.39</v>
      </c>
      <c r="V2129">
        <v>4.32</v>
      </c>
      <c r="W2129">
        <v>5.85</v>
      </c>
      <c r="X2129">
        <v>2.7</v>
      </c>
      <c r="Y2129">
        <v>3.02</v>
      </c>
      <c r="Z2129">
        <v>2.73</v>
      </c>
      <c r="AA2129">
        <v>3.57</v>
      </c>
      <c r="AB2129">
        <v>2.42</v>
      </c>
      <c r="AC2129">
        <v>5.52</v>
      </c>
      <c r="AD2129">
        <v>7.45</v>
      </c>
      <c r="AE2129">
        <v>1.78</v>
      </c>
      <c r="AF2129">
        <v>3.9116666666666671</v>
      </c>
      <c r="AG2129" t="str">
        <f>HYPERLINK("https://finance.naver.com/item/fchart.naver?code=001570", "금양 차트보기")</f>
        <v>금양 차트보기</v>
      </c>
    </row>
    <row r="2130" spans="1:33" x14ac:dyDescent="0.3">
      <c r="A2130" t="s">
        <v>8547</v>
      </c>
      <c r="B2130" t="s">
        <v>34</v>
      </c>
      <c r="C2130" t="s">
        <v>8548</v>
      </c>
      <c r="D2130">
        <v>110800.57</v>
      </c>
      <c r="E2130" t="s">
        <v>8549</v>
      </c>
      <c r="F2130">
        <v>0</v>
      </c>
      <c r="G2130">
        <v>0.4699999988079071</v>
      </c>
      <c r="H2130">
        <v>0</v>
      </c>
      <c r="I2130">
        <v>0</v>
      </c>
      <c r="J2130" t="s">
        <v>8550</v>
      </c>
      <c r="K2130">
        <v>788</v>
      </c>
      <c r="L2130">
        <v>716</v>
      </c>
      <c r="M2130">
        <v>-9.14</v>
      </c>
      <c r="N2130">
        <v>-0.83</v>
      </c>
      <c r="O2130">
        <v>-13.41</v>
      </c>
      <c r="P2130">
        <v>-1.67</v>
      </c>
      <c r="Q2130">
        <v>5.91</v>
      </c>
      <c r="R2130">
        <v>1.4</v>
      </c>
      <c r="S2130">
        <v>-1.63</v>
      </c>
      <c r="T2130">
        <v>0.54</v>
      </c>
      <c r="U2130">
        <v>0.97</v>
      </c>
      <c r="V2130">
        <v>0.85</v>
      </c>
      <c r="W2130">
        <v>2.5</v>
      </c>
      <c r="X2130">
        <v>0.96</v>
      </c>
      <c r="Y2130">
        <v>0.7</v>
      </c>
      <c r="Z2130">
        <v>1.54</v>
      </c>
      <c r="AA2130">
        <v>13.82</v>
      </c>
      <c r="AB2130">
        <v>1.96</v>
      </c>
      <c r="AC2130">
        <v>2.36</v>
      </c>
      <c r="AD2130">
        <v>1.46</v>
      </c>
      <c r="AE2130">
        <v>2.33</v>
      </c>
      <c r="AF2130">
        <v>3.9116666666666671</v>
      </c>
      <c r="AG2130" t="str">
        <f>HYPERLINK("https://finance.naver.com/item/fchart.naver?code=009460", "한창제지 차트보기")</f>
        <v>한창제지 차트보기</v>
      </c>
    </row>
    <row r="2131" spans="1:33" x14ac:dyDescent="0.3">
      <c r="A2131" t="s">
        <v>8551</v>
      </c>
      <c r="B2131" t="s">
        <v>34</v>
      </c>
      <c r="C2131" t="s">
        <v>8552</v>
      </c>
      <c r="D2131">
        <v>8760.7099999999991</v>
      </c>
      <c r="E2131" t="s">
        <v>8553</v>
      </c>
      <c r="F2131">
        <v>0</v>
      </c>
      <c r="G2131">
        <v>0</v>
      </c>
      <c r="H2131">
        <v>0</v>
      </c>
      <c r="I2131">
        <v>0.40000000596046448</v>
      </c>
      <c r="J2131" t="s">
        <v>8554</v>
      </c>
      <c r="K2131">
        <v>2135</v>
      </c>
      <c r="L2131">
        <v>1770</v>
      </c>
      <c r="M2131">
        <v>-17.100000000000001</v>
      </c>
      <c r="N2131">
        <v>-3.17</v>
      </c>
      <c r="O2131">
        <v>-6.43</v>
      </c>
      <c r="P2131">
        <v>-6.29</v>
      </c>
      <c r="Q2131">
        <v>17.2</v>
      </c>
      <c r="R2131">
        <v>-3.63</v>
      </c>
      <c r="S2131">
        <v>-5.34</v>
      </c>
      <c r="T2131">
        <v>1.33</v>
      </c>
      <c r="U2131">
        <v>1.21</v>
      </c>
      <c r="V2131">
        <v>8.68</v>
      </c>
      <c r="W2131">
        <v>2.2200000000000002</v>
      </c>
      <c r="X2131">
        <v>1.84</v>
      </c>
      <c r="Y2131">
        <v>1</v>
      </c>
      <c r="Z2131">
        <v>2.38</v>
      </c>
      <c r="AA2131">
        <v>5.31</v>
      </c>
      <c r="AB2131">
        <v>0.72</v>
      </c>
      <c r="AC2131">
        <v>7.75</v>
      </c>
      <c r="AD2131">
        <v>1.97</v>
      </c>
      <c r="AE2131">
        <v>5.34</v>
      </c>
      <c r="AF2131">
        <v>3.9116666666666671</v>
      </c>
      <c r="AG2131" t="str">
        <f>HYPERLINK("https://finance.naver.com/item/fchart.naver?code=001515", "SK증권우 차트보기")</f>
        <v>SK증권우 차트보기</v>
      </c>
    </row>
    <row r="2132" spans="1:33" x14ac:dyDescent="0.3">
      <c r="A2132" t="s">
        <v>8555</v>
      </c>
      <c r="B2132" t="s">
        <v>34</v>
      </c>
      <c r="C2132" t="s">
        <v>8556</v>
      </c>
      <c r="D2132">
        <v>138770.29</v>
      </c>
      <c r="E2132" t="s">
        <v>8557</v>
      </c>
      <c r="F2132">
        <v>0</v>
      </c>
      <c r="G2132">
        <v>2.4300000667572021</v>
      </c>
      <c r="H2132">
        <v>0</v>
      </c>
      <c r="I2132">
        <v>0</v>
      </c>
      <c r="J2132" t="s">
        <v>8558</v>
      </c>
      <c r="K2132">
        <v>30450</v>
      </c>
      <c r="L2132">
        <v>18670</v>
      </c>
      <c r="M2132">
        <v>-38.69</v>
      </c>
      <c r="N2132">
        <v>-10.67</v>
      </c>
      <c r="O2132">
        <v>-13.16</v>
      </c>
      <c r="P2132">
        <v>9.7899999999999991</v>
      </c>
      <c r="Q2132">
        <v>-11.12</v>
      </c>
      <c r="R2132">
        <v>-24.38</v>
      </c>
      <c r="S2132">
        <v>-4.2699999999999996</v>
      </c>
      <c r="T2132">
        <v>3.89</v>
      </c>
      <c r="U2132">
        <v>3.55</v>
      </c>
      <c r="V2132">
        <v>4.9800000000000004</v>
      </c>
      <c r="W2132">
        <v>5.05</v>
      </c>
      <c r="X2132">
        <v>2.15</v>
      </c>
      <c r="Y2132">
        <v>2.77</v>
      </c>
      <c r="Z2132">
        <v>2.74</v>
      </c>
      <c r="AA2132">
        <v>3.71</v>
      </c>
      <c r="AB2132">
        <v>1.97</v>
      </c>
      <c r="AC2132">
        <v>2.2000000000000002</v>
      </c>
      <c r="AD2132">
        <v>11.34</v>
      </c>
      <c r="AE2132">
        <v>1.54</v>
      </c>
      <c r="AF2132">
        <v>3.916666666666667</v>
      </c>
      <c r="AG2132" t="str">
        <f>HYPERLINK("https://finance.naver.com/item/fchart.naver?code=005420", "코스모화학 차트보기")</f>
        <v>코스모화학 차트보기</v>
      </c>
    </row>
    <row r="2133" spans="1:33" x14ac:dyDescent="0.3">
      <c r="A2133" t="s">
        <v>8559</v>
      </c>
      <c r="B2133" t="s">
        <v>55</v>
      </c>
      <c r="C2133" t="s">
        <v>8560</v>
      </c>
      <c r="D2133">
        <v>79640</v>
      </c>
      <c r="E2133" t="s">
        <v>8561</v>
      </c>
      <c r="F2133">
        <v>10.93</v>
      </c>
      <c r="G2133">
        <v>3.0999999046325679</v>
      </c>
      <c r="H2133">
        <v>1001</v>
      </c>
      <c r="I2133">
        <v>0</v>
      </c>
      <c r="J2133" t="s">
        <v>8562</v>
      </c>
      <c r="K2133">
        <v>22100</v>
      </c>
      <c r="L2133">
        <v>10940</v>
      </c>
      <c r="M2133">
        <v>-50.5</v>
      </c>
      <c r="N2133">
        <v>-19.68</v>
      </c>
      <c r="O2133">
        <v>-24.54</v>
      </c>
      <c r="P2133">
        <v>-15.25</v>
      </c>
      <c r="Q2133">
        <v>1.64</v>
      </c>
      <c r="R2133">
        <v>-14.4</v>
      </c>
      <c r="S2133">
        <v>-21.36</v>
      </c>
      <c r="T2133">
        <v>6.97</v>
      </c>
      <c r="U2133">
        <v>2.4500000000000002</v>
      </c>
      <c r="V2133">
        <v>3.56</v>
      </c>
      <c r="W2133">
        <v>6.63</v>
      </c>
      <c r="X2133">
        <v>5.57</v>
      </c>
      <c r="Y2133">
        <v>6</v>
      </c>
      <c r="Z2133">
        <v>2.82</v>
      </c>
      <c r="AA2133">
        <v>10.02</v>
      </c>
      <c r="AB2133">
        <v>4.28</v>
      </c>
      <c r="AC2133">
        <v>0.25</v>
      </c>
      <c r="AD2133">
        <v>2.59</v>
      </c>
      <c r="AE2133">
        <v>3.56</v>
      </c>
      <c r="AF2133">
        <v>3.92</v>
      </c>
      <c r="AG2133" t="str">
        <f>HYPERLINK("https://finance.naver.com/item/fchart.naver?code=420570", "제이투케이바이오 차트보기")</f>
        <v>제이투케이바이오 차트보기</v>
      </c>
    </row>
    <row r="2134" spans="1:33" x14ac:dyDescent="0.3">
      <c r="A2134" t="s">
        <v>8563</v>
      </c>
      <c r="B2134" t="s">
        <v>55</v>
      </c>
      <c r="C2134" t="s">
        <v>8564</v>
      </c>
      <c r="D2134">
        <v>32034.29</v>
      </c>
      <c r="E2134" t="s">
        <v>8565</v>
      </c>
      <c r="F2134">
        <v>6.21</v>
      </c>
      <c r="G2134">
        <v>0.38999998569488531</v>
      </c>
      <c r="H2134">
        <v>829</v>
      </c>
      <c r="I2134">
        <v>1.75</v>
      </c>
      <c r="J2134" t="s">
        <v>8566</v>
      </c>
      <c r="K2134">
        <v>6470</v>
      </c>
      <c r="L2134">
        <v>5150</v>
      </c>
      <c r="M2134">
        <v>-20.399999999999999</v>
      </c>
      <c r="N2134">
        <v>-5.68</v>
      </c>
      <c r="O2134">
        <v>-2.82</v>
      </c>
      <c r="P2134">
        <v>-4.9400000000000004</v>
      </c>
      <c r="Q2134">
        <v>7.58</v>
      </c>
      <c r="R2134">
        <v>-11.27</v>
      </c>
      <c r="S2134">
        <v>-4.0199999999999996</v>
      </c>
      <c r="T2134">
        <v>1.56</v>
      </c>
      <c r="U2134">
        <v>1.44</v>
      </c>
      <c r="V2134">
        <v>1.8</v>
      </c>
      <c r="W2134">
        <v>4.2699999999999996</v>
      </c>
      <c r="X2134">
        <v>1.08</v>
      </c>
      <c r="Y2134">
        <v>1.36</v>
      </c>
      <c r="Z2134">
        <v>3.64</v>
      </c>
      <c r="AA2134">
        <v>1.96</v>
      </c>
      <c r="AB2134">
        <v>2.74</v>
      </c>
      <c r="AC2134">
        <v>1.78</v>
      </c>
      <c r="AD2134">
        <v>10.44</v>
      </c>
      <c r="AE2134">
        <v>2.96</v>
      </c>
      <c r="AF2134">
        <v>3.92</v>
      </c>
      <c r="AG2134" t="str">
        <f>HYPERLINK("https://finance.naver.com/item/fchart.naver?code=068790", "DMS 차트보기")</f>
        <v>DMS 차트보기</v>
      </c>
    </row>
    <row r="2135" spans="1:33" x14ac:dyDescent="0.3">
      <c r="A2135" t="s">
        <v>8567</v>
      </c>
      <c r="B2135" t="s">
        <v>55</v>
      </c>
      <c r="C2135" t="s">
        <v>8568</v>
      </c>
      <c r="D2135">
        <v>18431</v>
      </c>
      <c r="E2135" t="s">
        <v>8569</v>
      </c>
      <c r="F2135">
        <v>0</v>
      </c>
      <c r="G2135">
        <v>0</v>
      </c>
      <c r="H2135">
        <v>0</v>
      </c>
      <c r="I2135">
        <v>0</v>
      </c>
      <c r="J2135" t="s">
        <v>8570</v>
      </c>
      <c r="K2135">
        <v>1983</v>
      </c>
      <c r="L2135">
        <v>2040</v>
      </c>
      <c r="M2135">
        <v>2.87</v>
      </c>
      <c r="N2135">
        <v>-0.24</v>
      </c>
      <c r="O2135">
        <v>0.49</v>
      </c>
      <c r="P2135">
        <v>-1.22</v>
      </c>
      <c r="Q2135">
        <v>-1.2</v>
      </c>
      <c r="R2135">
        <v>3.24</v>
      </c>
      <c r="S2135">
        <v>1.1100000000000001</v>
      </c>
      <c r="T2135">
        <v>0.38</v>
      </c>
      <c r="U2135">
        <v>0.52</v>
      </c>
      <c r="V2135">
        <v>0.35</v>
      </c>
      <c r="W2135">
        <v>0.4</v>
      </c>
      <c r="X2135">
        <v>0.43</v>
      </c>
      <c r="Y2135">
        <v>0.14000000000000001</v>
      </c>
      <c r="Z2135">
        <v>0.63</v>
      </c>
      <c r="AA2135">
        <v>0.94</v>
      </c>
      <c r="AB2135">
        <v>3.49</v>
      </c>
      <c r="AC2135">
        <v>3</v>
      </c>
      <c r="AD2135">
        <v>7.53</v>
      </c>
      <c r="AE2135">
        <v>7.93</v>
      </c>
      <c r="AF2135">
        <v>3.92</v>
      </c>
      <c r="AG2135" t="str">
        <f>HYPERLINK("https://finance.naver.com/item/fchart.naver?code=479880", "한국제15호스팩 차트보기")</f>
        <v>한국제15호스팩 차트보기</v>
      </c>
    </row>
    <row r="2136" spans="1:33" x14ac:dyDescent="0.3">
      <c r="A2136" t="s">
        <v>8571</v>
      </c>
      <c r="B2136" t="s">
        <v>55</v>
      </c>
      <c r="C2136" t="s">
        <v>8572</v>
      </c>
      <c r="D2136">
        <v>137852.95000000001</v>
      </c>
      <c r="E2136" t="s">
        <v>8573</v>
      </c>
      <c r="F2136">
        <v>23.8</v>
      </c>
      <c r="G2136">
        <v>1.450000047683716</v>
      </c>
      <c r="H2136">
        <v>757</v>
      </c>
      <c r="I2136">
        <v>0.88999998569488525</v>
      </c>
      <c r="J2136" t="s">
        <v>8574</v>
      </c>
      <c r="K2136">
        <v>18760</v>
      </c>
      <c r="L2136">
        <v>18020</v>
      </c>
      <c r="M2136">
        <v>-3.94</v>
      </c>
      <c r="N2136">
        <v>-12.52</v>
      </c>
      <c r="O2136">
        <v>10.26</v>
      </c>
      <c r="P2136">
        <v>0.52</v>
      </c>
      <c r="Q2136">
        <v>-4.5</v>
      </c>
      <c r="R2136">
        <v>-10.77</v>
      </c>
      <c r="S2136">
        <v>20.47</v>
      </c>
      <c r="T2136">
        <v>2.66</v>
      </c>
      <c r="U2136">
        <v>2.4700000000000002</v>
      </c>
      <c r="V2136">
        <v>2.38</v>
      </c>
      <c r="W2136">
        <v>5.14</v>
      </c>
      <c r="X2136">
        <v>1.64</v>
      </c>
      <c r="Y2136">
        <v>2.93</v>
      </c>
      <c r="Z2136">
        <v>4.71</v>
      </c>
      <c r="AA2136">
        <v>4.1500000000000004</v>
      </c>
      <c r="AB2136">
        <v>0.22</v>
      </c>
      <c r="AC2136">
        <v>0.88</v>
      </c>
      <c r="AD2136">
        <v>6.57</v>
      </c>
      <c r="AE2136">
        <v>6.99</v>
      </c>
      <c r="AF2136">
        <v>3.92</v>
      </c>
      <c r="AG2136" t="str">
        <f>HYPERLINK("https://finance.naver.com/item/fchart.naver?code=051360", "토비스 차트보기")</f>
        <v>토비스 차트보기</v>
      </c>
    </row>
    <row r="2137" spans="1:33" x14ac:dyDescent="0.3">
      <c r="A2137" t="s">
        <v>8575</v>
      </c>
      <c r="B2137" t="s">
        <v>55</v>
      </c>
      <c r="C2137" t="s">
        <v>8576</v>
      </c>
      <c r="D2137">
        <v>37851.519999999997</v>
      </c>
      <c r="E2137" t="s">
        <v>8577</v>
      </c>
      <c r="F2137">
        <v>0</v>
      </c>
      <c r="G2137">
        <v>0.88999998569488525</v>
      </c>
      <c r="H2137">
        <v>0</v>
      </c>
      <c r="I2137">
        <v>0</v>
      </c>
      <c r="J2137" t="s">
        <v>8578</v>
      </c>
      <c r="K2137">
        <v>9290</v>
      </c>
      <c r="L2137">
        <v>4935</v>
      </c>
      <c r="M2137">
        <v>-46.88</v>
      </c>
      <c r="N2137">
        <v>-3.99</v>
      </c>
      <c r="O2137">
        <v>-6.61</v>
      </c>
      <c r="P2137">
        <v>-8.15</v>
      </c>
      <c r="Q2137">
        <v>-11.08</v>
      </c>
      <c r="R2137">
        <v>-12.66</v>
      </c>
      <c r="S2137">
        <v>-13.69</v>
      </c>
      <c r="T2137">
        <v>2.5</v>
      </c>
      <c r="U2137">
        <v>1.74</v>
      </c>
      <c r="V2137">
        <v>2.9</v>
      </c>
      <c r="W2137">
        <v>5.69</v>
      </c>
      <c r="X2137">
        <v>2.15</v>
      </c>
      <c r="Y2137">
        <v>1.83</v>
      </c>
      <c r="Z2137">
        <v>1.6</v>
      </c>
      <c r="AA2137">
        <v>3.8</v>
      </c>
      <c r="AB2137">
        <v>2.81</v>
      </c>
      <c r="AC2137">
        <v>1.95</v>
      </c>
      <c r="AD2137">
        <v>5.89</v>
      </c>
      <c r="AE2137">
        <v>7.48</v>
      </c>
      <c r="AF2137">
        <v>3.9216666666666669</v>
      </c>
      <c r="AG2137" t="str">
        <f>HYPERLINK("https://finance.naver.com/item/fchart.naver?code=317830", "에스피시스템스 차트보기")</f>
        <v>에스피시스템스 차트보기</v>
      </c>
    </row>
    <row r="2138" spans="1:33" x14ac:dyDescent="0.3">
      <c r="A2138" t="s">
        <v>8579</v>
      </c>
      <c r="B2138" t="s">
        <v>55</v>
      </c>
      <c r="C2138" t="s">
        <v>8580</v>
      </c>
      <c r="D2138">
        <v>103932.1</v>
      </c>
      <c r="E2138" t="s">
        <v>8581</v>
      </c>
      <c r="F2138">
        <v>2.82</v>
      </c>
      <c r="G2138">
        <v>0.33000001311302191</v>
      </c>
      <c r="H2138">
        <v>169</v>
      </c>
      <c r="I2138">
        <v>0</v>
      </c>
      <c r="J2138" t="s">
        <v>8582</v>
      </c>
      <c r="K2138">
        <v>638</v>
      </c>
      <c r="L2138">
        <v>476</v>
      </c>
      <c r="M2138">
        <v>-25.39</v>
      </c>
      <c r="N2138">
        <v>-3.64</v>
      </c>
      <c r="O2138">
        <v>-3.85</v>
      </c>
      <c r="P2138">
        <v>-0.38</v>
      </c>
      <c r="Q2138">
        <v>-5.57</v>
      </c>
      <c r="R2138">
        <v>-7.25</v>
      </c>
      <c r="S2138">
        <v>-1.5</v>
      </c>
      <c r="T2138">
        <v>0.89</v>
      </c>
      <c r="U2138">
        <v>0.71</v>
      </c>
      <c r="V2138">
        <v>1.2</v>
      </c>
      <c r="W2138">
        <v>2.19</v>
      </c>
      <c r="X2138">
        <v>0.76</v>
      </c>
      <c r="Y2138">
        <v>0.92</v>
      </c>
      <c r="Z2138">
        <v>4.09</v>
      </c>
      <c r="AA2138">
        <v>5.42</v>
      </c>
      <c r="AB2138">
        <v>0.32</v>
      </c>
      <c r="AC2138">
        <v>2.54</v>
      </c>
      <c r="AD2138">
        <v>9.5399999999999991</v>
      </c>
      <c r="AE2138">
        <v>1.63</v>
      </c>
      <c r="AF2138">
        <v>3.9233333333333329</v>
      </c>
      <c r="AG2138" t="str">
        <f>HYPERLINK("https://finance.naver.com/item/fchart.naver?code=036630", "세종텔레콤 차트보기")</f>
        <v>세종텔레콤 차트보기</v>
      </c>
    </row>
    <row r="2139" spans="1:33" x14ac:dyDescent="0.3">
      <c r="A2139" t="s">
        <v>8583</v>
      </c>
      <c r="B2139" t="s">
        <v>34</v>
      </c>
      <c r="C2139" t="s">
        <v>8584</v>
      </c>
      <c r="D2139">
        <v>241302.81</v>
      </c>
      <c r="E2139" t="s">
        <v>8585</v>
      </c>
      <c r="F2139">
        <v>39.729999999999997</v>
      </c>
      <c r="G2139">
        <v>25.020000457763668</v>
      </c>
      <c r="H2139">
        <v>3778</v>
      </c>
      <c r="I2139">
        <v>1.669999957084656</v>
      </c>
      <c r="J2139" t="s">
        <v>8586</v>
      </c>
      <c r="K2139">
        <v>198600</v>
      </c>
      <c r="L2139">
        <v>150100</v>
      </c>
      <c r="M2139">
        <v>-24.42</v>
      </c>
      <c r="N2139">
        <v>12.1</v>
      </c>
      <c r="O2139">
        <v>32.4</v>
      </c>
      <c r="P2139">
        <v>-2.99</v>
      </c>
      <c r="Q2139">
        <v>-24.18</v>
      </c>
      <c r="R2139">
        <v>7.03</v>
      </c>
      <c r="S2139">
        <v>-1.52</v>
      </c>
      <c r="T2139">
        <v>3.33</v>
      </c>
      <c r="U2139">
        <v>2.68</v>
      </c>
      <c r="V2139">
        <v>2.48</v>
      </c>
      <c r="W2139">
        <v>5.2</v>
      </c>
      <c r="X2139">
        <v>4.34</v>
      </c>
      <c r="Y2139">
        <v>4.1100000000000003</v>
      </c>
      <c r="Z2139">
        <v>3.63</v>
      </c>
      <c r="AA2139">
        <v>12.09</v>
      </c>
      <c r="AB2139">
        <v>1.21</v>
      </c>
      <c r="AC2139">
        <v>4.6500000000000004</v>
      </c>
      <c r="AD2139">
        <v>1.62</v>
      </c>
      <c r="AE2139">
        <v>0.37</v>
      </c>
      <c r="AF2139">
        <v>3.9283333333333328</v>
      </c>
      <c r="AG2139" t="str">
        <f>HYPERLINK("https://finance.naver.com/item/fchart.naver?code=443060", "HD현대마린솔루션 차트보기")</f>
        <v>HD현대마린솔루션 차트보기</v>
      </c>
    </row>
    <row r="2140" spans="1:33" x14ac:dyDescent="0.3">
      <c r="A2140" t="s">
        <v>8587</v>
      </c>
      <c r="B2140" t="s">
        <v>34</v>
      </c>
      <c r="C2140" t="s">
        <v>8588</v>
      </c>
      <c r="D2140">
        <v>186133.29</v>
      </c>
      <c r="E2140" t="s">
        <v>8589</v>
      </c>
      <c r="F2140">
        <v>7.52</v>
      </c>
      <c r="G2140">
        <v>2.2599999904632568</v>
      </c>
      <c r="H2140">
        <v>2464</v>
      </c>
      <c r="I2140">
        <v>0</v>
      </c>
      <c r="J2140" t="s">
        <v>8590</v>
      </c>
      <c r="K2140">
        <v>24000</v>
      </c>
      <c r="L2140">
        <v>18520</v>
      </c>
      <c r="M2140">
        <v>-22.83</v>
      </c>
      <c r="N2140">
        <v>0.33</v>
      </c>
      <c r="O2140">
        <v>-4.0999999999999996</v>
      </c>
      <c r="P2140">
        <v>2.0099999999999998</v>
      </c>
      <c r="Q2140">
        <v>4.59</v>
      </c>
      <c r="R2140">
        <v>-14.16</v>
      </c>
      <c r="S2140">
        <v>-14.46</v>
      </c>
      <c r="T2140">
        <v>4.21</v>
      </c>
      <c r="U2140">
        <v>1.95</v>
      </c>
      <c r="V2140">
        <v>2.39</v>
      </c>
      <c r="W2140">
        <v>3.43</v>
      </c>
      <c r="X2140">
        <v>1.51</v>
      </c>
      <c r="Y2140">
        <v>1.47</v>
      </c>
      <c r="Z2140">
        <v>0.08</v>
      </c>
      <c r="AA2140">
        <v>2.1</v>
      </c>
      <c r="AB2140">
        <v>0.84</v>
      </c>
      <c r="AC2140">
        <v>1.34</v>
      </c>
      <c r="AD2140">
        <v>9.3800000000000008</v>
      </c>
      <c r="AE2140">
        <v>9.84</v>
      </c>
      <c r="AF2140">
        <v>3.93</v>
      </c>
      <c r="AG2140" t="str">
        <f>HYPERLINK("https://finance.naver.com/item/fchart.naver?code=248070", "솔루엠 차트보기")</f>
        <v>솔루엠 차트보기</v>
      </c>
    </row>
    <row r="2141" spans="1:33" x14ac:dyDescent="0.3">
      <c r="A2141" t="s">
        <v>8591</v>
      </c>
      <c r="B2141" t="s">
        <v>55</v>
      </c>
      <c r="C2141" t="s">
        <v>8592</v>
      </c>
      <c r="D2141">
        <v>279027.81</v>
      </c>
      <c r="E2141" t="s">
        <v>8593</v>
      </c>
      <c r="F2141">
        <v>12.56</v>
      </c>
      <c r="G2141">
        <v>2.619999885559082</v>
      </c>
      <c r="H2141">
        <v>445</v>
      </c>
      <c r="I2141">
        <v>1.25</v>
      </c>
      <c r="J2141" t="s">
        <v>8594</v>
      </c>
      <c r="K2141">
        <v>6160</v>
      </c>
      <c r="L2141">
        <v>5590</v>
      </c>
      <c r="M2141">
        <v>-9.25</v>
      </c>
      <c r="N2141">
        <v>3.14</v>
      </c>
      <c r="O2141">
        <v>4.3099999999999996</v>
      </c>
      <c r="P2141">
        <v>-10.34</v>
      </c>
      <c r="Q2141">
        <v>-4.28</v>
      </c>
      <c r="R2141">
        <v>6.85</v>
      </c>
      <c r="S2141">
        <v>27.25</v>
      </c>
      <c r="T2141">
        <v>1.4</v>
      </c>
      <c r="U2141">
        <v>2.71</v>
      </c>
      <c r="V2141">
        <v>2.39</v>
      </c>
      <c r="W2141">
        <v>3.18</v>
      </c>
      <c r="X2141">
        <v>4.24</v>
      </c>
      <c r="Y2141">
        <v>2.1800000000000002</v>
      </c>
      <c r="Z2141">
        <v>2.2400000000000002</v>
      </c>
      <c r="AA2141">
        <v>1.59</v>
      </c>
      <c r="AB2141">
        <v>4.33</v>
      </c>
      <c r="AC2141">
        <v>1.35</v>
      </c>
      <c r="AD2141">
        <v>1.62</v>
      </c>
      <c r="AE2141">
        <v>12.5</v>
      </c>
      <c r="AF2141">
        <v>3.938333333333333</v>
      </c>
      <c r="AG2141" t="str">
        <f>HYPERLINK("https://finance.naver.com/item/fchart.naver?code=099430", "바이오플러스 차트보기")</f>
        <v>바이오플러스 차트보기</v>
      </c>
    </row>
    <row r="2142" spans="1:33" x14ac:dyDescent="0.3">
      <c r="A2142" t="s">
        <v>8595</v>
      </c>
      <c r="B2142" t="s">
        <v>34</v>
      </c>
      <c r="C2142" t="s">
        <v>8596</v>
      </c>
      <c r="D2142">
        <v>802130.81</v>
      </c>
      <c r="E2142" t="s">
        <v>8597</v>
      </c>
      <c r="F2142">
        <v>15.97</v>
      </c>
      <c r="G2142">
        <v>1.139999985694885</v>
      </c>
      <c r="H2142">
        <v>226</v>
      </c>
      <c r="I2142">
        <v>0.97000002861022949</v>
      </c>
      <c r="J2142" t="s">
        <v>8598</v>
      </c>
      <c r="K2142">
        <v>3780</v>
      </c>
      <c r="L2142">
        <v>3610</v>
      </c>
      <c r="M2142">
        <v>-4.5</v>
      </c>
      <c r="N2142">
        <v>-10.31</v>
      </c>
      <c r="O2142">
        <v>-8.91</v>
      </c>
      <c r="P2142">
        <v>-5.65</v>
      </c>
      <c r="Q2142">
        <v>-20.96</v>
      </c>
      <c r="R2142">
        <v>51.2</v>
      </c>
      <c r="S2142">
        <v>-3.81</v>
      </c>
      <c r="T2142">
        <v>3.82</v>
      </c>
      <c r="U2142">
        <v>2.41</v>
      </c>
      <c r="V2142">
        <v>4.3099999999999996</v>
      </c>
      <c r="W2142">
        <v>4.25</v>
      </c>
      <c r="X2142">
        <v>6.6</v>
      </c>
      <c r="Y2142">
        <v>1.18</v>
      </c>
      <c r="Z2142">
        <v>2.7</v>
      </c>
      <c r="AA2142">
        <v>3.7</v>
      </c>
      <c r="AB2142">
        <v>1.31</v>
      </c>
      <c r="AC2142">
        <v>4.93</v>
      </c>
      <c r="AD2142">
        <v>7.76</v>
      </c>
      <c r="AE2142">
        <v>3.23</v>
      </c>
      <c r="AF2142">
        <v>3.938333333333333</v>
      </c>
      <c r="AG2142" t="str">
        <f>HYPERLINK("https://finance.naver.com/item/fchart.naver?code=004310", "현대약품 차트보기")</f>
        <v>현대약품 차트보기</v>
      </c>
    </row>
    <row r="2143" spans="1:33" x14ac:dyDescent="0.3">
      <c r="A2143" t="s">
        <v>8599</v>
      </c>
      <c r="B2143" t="s">
        <v>34</v>
      </c>
      <c r="C2143" t="s">
        <v>8600</v>
      </c>
      <c r="D2143">
        <v>76925.81</v>
      </c>
      <c r="E2143" t="s">
        <v>8601</v>
      </c>
      <c r="F2143">
        <v>0</v>
      </c>
      <c r="G2143">
        <v>0.82999998331069946</v>
      </c>
      <c r="H2143">
        <v>0</v>
      </c>
      <c r="I2143">
        <v>0</v>
      </c>
      <c r="J2143" t="s">
        <v>8602</v>
      </c>
      <c r="K2143">
        <v>27400</v>
      </c>
      <c r="L2143">
        <v>14940</v>
      </c>
      <c r="M2143">
        <v>-45.47</v>
      </c>
      <c r="N2143">
        <v>-5.38</v>
      </c>
      <c r="O2143">
        <v>-7.34</v>
      </c>
      <c r="P2143">
        <v>-15.53</v>
      </c>
      <c r="Q2143">
        <v>3.16</v>
      </c>
      <c r="R2143">
        <v>-16.77</v>
      </c>
      <c r="S2143">
        <v>-4.3099999999999996</v>
      </c>
      <c r="T2143">
        <v>3.07</v>
      </c>
      <c r="U2143">
        <v>2.12</v>
      </c>
      <c r="V2143">
        <v>2.09</v>
      </c>
      <c r="W2143">
        <v>4.59</v>
      </c>
      <c r="X2143">
        <v>2.04</v>
      </c>
      <c r="Y2143">
        <v>2.0699999999999998</v>
      </c>
      <c r="Z2143">
        <v>1.75</v>
      </c>
      <c r="AA2143">
        <v>3.46</v>
      </c>
      <c r="AB2143">
        <v>7.43</v>
      </c>
      <c r="AC2143">
        <v>0.69</v>
      </c>
      <c r="AD2143">
        <v>8.2200000000000006</v>
      </c>
      <c r="AE2143">
        <v>2.08</v>
      </c>
      <c r="AF2143">
        <v>3.9383333333333339</v>
      </c>
      <c r="AG2143" t="str">
        <f>HYPERLINK("https://finance.naver.com/item/fchart.naver?code=033240", "자화전자 차트보기")</f>
        <v>자화전자 차트보기</v>
      </c>
    </row>
    <row r="2144" spans="1:33" x14ac:dyDescent="0.3">
      <c r="A2144" t="s">
        <v>8603</v>
      </c>
      <c r="B2144" t="s">
        <v>55</v>
      </c>
      <c r="C2144" t="s">
        <v>8604</v>
      </c>
      <c r="D2144">
        <v>226422.1</v>
      </c>
      <c r="E2144" t="s">
        <v>8605</v>
      </c>
      <c r="F2144">
        <v>0</v>
      </c>
      <c r="G2144">
        <v>4.2800002098083496</v>
      </c>
      <c r="H2144">
        <v>0</v>
      </c>
      <c r="I2144">
        <v>0</v>
      </c>
      <c r="J2144" t="s">
        <v>8606</v>
      </c>
      <c r="K2144">
        <v>3456</v>
      </c>
      <c r="L2144">
        <v>1989</v>
      </c>
      <c r="M2144">
        <v>-42.45</v>
      </c>
      <c r="N2144">
        <v>3.27</v>
      </c>
      <c r="O2144">
        <v>-11.33</v>
      </c>
      <c r="P2144">
        <v>-18.61</v>
      </c>
      <c r="Q2144">
        <v>5.07</v>
      </c>
      <c r="R2144">
        <v>-12.42</v>
      </c>
      <c r="S2144">
        <v>-14.44</v>
      </c>
      <c r="T2144">
        <v>2.67</v>
      </c>
      <c r="U2144">
        <v>2.31</v>
      </c>
      <c r="V2144">
        <v>5.29</v>
      </c>
      <c r="W2144">
        <v>4.34</v>
      </c>
      <c r="X2144">
        <v>3.73</v>
      </c>
      <c r="Y2144">
        <v>1.52</v>
      </c>
      <c r="Z2144">
        <v>1.22</v>
      </c>
      <c r="AA2144">
        <v>4.9000000000000004</v>
      </c>
      <c r="AB2144">
        <v>3.52</v>
      </c>
      <c r="AC2144">
        <v>1.17</v>
      </c>
      <c r="AD2144">
        <v>3.33</v>
      </c>
      <c r="AE2144">
        <v>9.5</v>
      </c>
      <c r="AF2144">
        <v>3.94</v>
      </c>
      <c r="AG2144" t="str">
        <f>HYPERLINK("https://finance.naver.com/item/fchart.naver?code=321370", "센서뷰 차트보기")</f>
        <v>센서뷰 차트보기</v>
      </c>
    </row>
    <row r="2145" spans="1:33" x14ac:dyDescent="0.3">
      <c r="A2145" t="s">
        <v>8607</v>
      </c>
      <c r="B2145" t="s">
        <v>34</v>
      </c>
      <c r="C2145" t="s">
        <v>8608</v>
      </c>
      <c r="D2145">
        <v>3503.95</v>
      </c>
      <c r="E2145" t="s">
        <v>8609</v>
      </c>
      <c r="F2145">
        <v>4.5</v>
      </c>
      <c r="G2145">
        <v>0.27000001072883612</v>
      </c>
      <c r="H2145">
        <v>2635</v>
      </c>
      <c r="I2145">
        <v>1.679999947547913</v>
      </c>
      <c r="J2145" t="s">
        <v>8610</v>
      </c>
      <c r="K2145">
        <v>15300</v>
      </c>
      <c r="L2145">
        <v>11870</v>
      </c>
      <c r="M2145">
        <v>-22.42</v>
      </c>
      <c r="N2145">
        <v>-4.2</v>
      </c>
      <c r="O2145">
        <v>-4.21</v>
      </c>
      <c r="P2145">
        <v>-4.2300000000000004</v>
      </c>
      <c r="Q2145">
        <v>-0.22</v>
      </c>
      <c r="R2145">
        <v>-5.37</v>
      </c>
      <c r="S2145">
        <v>-4.4400000000000004</v>
      </c>
      <c r="T2145">
        <v>1.34</v>
      </c>
      <c r="U2145">
        <v>1.94</v>
      </c>
      <c r="V2145">
        <v>1.28</v>
      </c>
      <c r="W2145">
        <v>2.17</v>
      </c>
      <c r="X2145">
        <v>0.71</v>
      </c>
      <c r="Y2145">
        <v>0.6</v>
      </c>
      <c r="Z2145">
        <v>3.13</v>
      </c>
      <c r="AA2145">
        <v>2.17</v>
      </c>
      <c r="AB2145">
        <v>3.3</v>
      </c>
      <c r="AC2145">
        <v>0.1</v>
      </c>
      <c r="AD2145">
        <v>7.56</v>
      </c>
      <c r="AE2145">
        <v>7.4</v>
      </c>
      <c r="AF2145">
        <v>3.9433333333333329</v>
      </c>
      <c r="AG2145" t="str">
        <f>HYPERLINK("https://finance.naver.com/item/fchart.naver?code=006840", "AK홀딩스 차트보기")</f>
        <v>AK홀딩스 차트보기</v>
      </c>
    </row>
    <row r="2146" spans="1:33" x14ac:dyDescent="0.3">
      <c r="A2146" t="s">
        <v>8611</v>
      </c>
      <c r="B2146" t="s">
        <v>55</v>
      </c>
      <c r="C2146" t="s">
        <v>8612</v>
      </c>
      <c r="D2146">
        <v>100913.71</v>
      </c>
      <c r="E2146" t="s">
        <v>8613</v>
      </c>
      <c r="F2146">
        <v>0</v>
      </c>
      <c r="G2146">
        <v>3.6099998950958252</v>
      </c>
      <c r="H2146">
        <v>0</v>
      </c>
      <c r="I2146">
        <v>0</v>
      </c>
      <c r="J2146" t="s">
        <v>8614</v>
      </c>
      <c r="K2146">
        <v>10870</v>
      </c>
      <c r="L2146">
        <v>5700</v>
      </c>
      <c r="M2146">
        <v>-47.56</v>
      </c>
      <c r="N2146">
        <v>12.2</v>
      </c>
      <c r="O2146">
        <v>-16.14</v>
      </c>
      <c r="P2146">
        <v>-12.99</v>
      </c>
      <c r="Q2146">
        <v>-34.69</v>
      </c>
      <c r="R2146">
        <v>-12.17</v>
      </c>
      <c r="S2146">
        <v>1.98</v>
      </c>
      <c r="T2146">
        <v>8.9600000000000009</v>
      </c>
      <c r="U2146">
        <v>2.2999999999999998</v>
      </c>
      <c r="V2146">
        <v>4.04</v>
      </c>
      <c r="W2146">
        <v>3.79</v>
      </c>
      <c r="X2146">
        <v>6.15</v>
      </c>
      <c r="Y2146">
        <v>2.13</v>
      </c>
      <c r="Z2146">
        <v>1.36</v>
      </c>
      <c r="AA2146">
        <v>7.02</v>
      </c>
      <c r="AB2146">
        <v>3.22</v>
      </c>
      <c r="AC2146">
        <v>9.15</v>
      </c>
      <c r="AD2146">
        <v>1.98</v>
      </c>
      <c r="AE2146">
        <v>0.93</v>
      </c>
      <c r="AF2146">
        <v>3.9433333333333329</v>
      </c>
      <c r="AG2146" t="str">
        <f>HYPERLINK("https://finance.naver.com/item/fchart.naver?code=091440", "한울소재과학 차트보기")</f>
        <v>한울소재과학 차트보기</v>
      </c>
    </row>
    <row r="2147" spans="1:33" x14ac:dyDescent="0.3">
      <c r="A2147" t="s">
        <v>8615</v>
      </c>
      <c r="B2147" t="s">
        <v>55</v>
      </c>
      <c r="C2147" t="s">
        <v>8616</v>
      </c>
      <c r="D2147">
        <v>70104.570000000007</v>
      </c>
      <c r="E2147" t="s">
        <v>8617</v>
      </c>
      <c r="F2147">
        <v>0</v>
      </c>
      <c r="G2147">
        <v>1.9900000095367429</v>
      </c>
      <c r="H2147">
        <v>0</v>
      </c>
      <c r="I2147">
        <v>0</v>
      </c>
      <c r="J2147" t="s">
        <v>8618</v>
      </c>
      <c r="K2147">
        <v>3180</v>
      </c>
      <c r="L2147">
        <v>2325</v>
      </c>
      <c r="M2147">
        <v>-26.89</v>
      </c>
      <c r="N2147">
        <v>-3.12</v>
      </c>
      <c r="O2147">
        <v>2.08</v>
      </c>
      <c r="P2147">
        <v>4.58</v>
      </c>
      <c r="Q2147">
        <v>-12.99</v>
      </c>
      <c r="R2147">
        <v>-12.33</v>
      </c>
      <c r="S2147">
        <v>-7.92</v>
      </c>
      <c r="T2147">
        <v>1.6</v>
      </c>
      <c r="U2147">
        <v>1.8</v>
      </c>
      <c r="V2147">
        <v>2.54</v>
      </c>
      <c r="W2147">
        <v>5.14</v>
      </c>
      <c r="X2147">
        <v>1.54</v>
      </c>
      <c r="Y2147">
        <v>0.96</v>
      </c>
      <c r="Z2147">
        <v>1.95</v>
      </c>
      <c r="AA2147">
        <v>1.1599999999999999</v>
      </c>
      <c r="AB2147">
        <v>1.8</v>
      </c>
      <c r="AC2147">
        <v>2.5299999999999998</v>
      </c>
      <c r="AD2147">
        <v>8.01</v>
      </c>
      <c r="AE2147">
        <v>8.25</v>
      </c>
      <c r="AF2147">
        <v>3.95</v>
      </c>
      <c r="AG2147" t="str">
        <f>HYPERLINK("https://finance.naver.com/item/fchart.naver?code=347000", "센코 차트보기")</f>
        <v>센코 차트보기</v>
      </c>
    </row>
    <row r="2148" spans="1:33" x14ac:dyDescent="0.3">
      <c r="A2148" t="s">
        <v>8619</v>
      </c>
      <c r="B2148" t="s">
        <v>34</v>
      </c>
      <c r="C2148" t="s">
        <v>8620</v>
      </c>
      <c r="D2148">
        <v>51990.29</v>
      </c>
      <c r="E2148" t="s">
        <v>8621</v>
      </c>
      <c r="F2148">
        <v>40.76</v>
      </c>
      <c r="G2148">
        <v>1.070000052452087</v>
      </c>
      <c r="H2148">
        <v>8513</v>
      </c>
      <c r="I2148">
        <v>1.0099999904632571</v>
      </c>
      <c r="J2148" t="s">
        <v>8622</v>
      </c>
      <c r="K2148">
        <v>455000</v>
      </c>
      <c r="L2148">
        <v>347000</v>
      </c>
      <c r="M2148">
        <v>-23.74</v>
      </c>
      <c r="N2148">
        <v>4.5199999999999996</v>
      </c>
      <c r="O2148">
        <v>-12.99</v>
      </c>
      <c r="P2148">
        <v>5.13</v>
      </c>
      <c r="Q2148">
        <v>1.29</v>
      </c>
      <c r="R2148">
        <v>-2.63</v>
      </c>
      <c r="S2148">
        <v>-18.61</v>
      </c>
      <c r="T2148">
        <v>0.92</v>
      </c>
      <c r="U2148">
        <v>2.4</v>
      </c>
      <c r="V2148">
        <v>2.73</v>
      </c>
      <c r="W2148">
        <v>2.7</v>
      </c>
      <c r="X2148">
        <v>2.04</v>
      </c>
      <c r="Y2148">
        <v>1.91</v>
      </c>
      <c r="Z2148">
        <v>4.91</v>
      </c>
      <c r="AA2148">
        <v>5.41</v>
      </c>
      <c r="AB2148">
        <v>1.88</v>
      </c>
      <c r="AC2148">
        <v>0.48</v>
      </c>
      <c r="AD2148">
        <v>1.29</v>
      </c>
      <c r="AE2148">
        <v>9.74</v>
      </c>
      <c r="AF2148">
        <v>3.9516666666666671</v>
      </c>
      <c r="AG2148" t="str">
        <f>HYPERLINK("https://finance.naver.com/item/fchart.naver?code=051900", "LG생활건강 차트보기")</f>
        <v>LG생활건강 차트보기</v>
      </c>
    </row>
    <row r="2149" spans="1:33" x14ac:dyDescent="0.3">
      <c r="A2149" t="s">
        <v>8623</v>
      </c>
      <c r="B2149" t="s">
        <v>34</v>
      </c>
      <c r="C2149" t="s">
        <v>8624</v>
      </c>
      <c r="D2149">
        <v>22723317.329999998</v>
      </c>
      <c r="E2149" t="s">
        <v>8625</v>
      </c>
      <c r="F2149">
        <v>0</v>
      </c>
      <c r="G2149">
        <v>2.470000028610229</v>
      </c>
      <c r="H2149">
        <v>0</v>
      </c>
      <c r="I2149">
        <v>0</v>
      </c>
      <c r="J2149" t="s">
        <v>8626</v>
      </c>
      <c r="K2149">
        <v>1727</v>
      </c>
      <c r="L2149">
        <v>1274</v>
      </c>
      <c r="M2149">
        <v>-26.23</v>
      </c>
      <c r="N2149">
        <v>157.37</v>
      </c>
      <c r="O2149">
        <v>0.39</v>
      </c>
      <c r="P2149">
        <v>-6.18</v>
      </c>
      <c r="Q2149">
        <v>-59.88</v>
      </c>
      <c r="R2149">
        <v>-2.73</v>
      </c>
      <c r="S2149">
        <v>-7.08</v>
      </c>
      <c r="T2149">
        <v>15</v>
      </c>
      <c r="U2149">
        <v>3.79</v>
      </c>
      <c r="V2149">
        <v>6.49</v>
      </c>
      <c r="W2149">
        <v>7.92</v>
      </c>
      <c r="X2149">
        <v>5.63</v>
      </c>
      <c r="Y2149">
        <v>1.71</v>
      </c>
      <c r="Z2149">
        <v>10.49</v>
      </c>
      <c r="AA2149">
        <v>0.1</v>
      </c>
      <c r="AB2149">
        <v>0.95</v>
      </c>
      <c r="AC2149">
        <v>7.56</v>
      </c>
      <c r="AD2149">
        <v>0.48</v>
      </c>
      <c r="AE2149">
        <v>4.1399999999999997</v>
      </c>
      <c r="AF2149">
        <v>3.9533333333333331</v>
      </c>
      <c r="AG2149" t="str">
        <f>HYPERLINK("https://finance.naver.com/item/fchart.naver?code=001470", "삼부토건 차트보기")</f>
        <v>삼부토건 차트보기</v>
      </c>
    </row>
    <row r="2150" spans="1:33" x14ac:dyDescent="0.3">
      <c r="A2150" t="s">
        <v>8627</v>
      </c>
      <c r="B2150" t="s">
        <v>34</v>
      </c>
      <c r="C2150" t="s">
        <v>8628</v>
      </c>
      <c r="D2150">
        <v>54430.43</v>
      </c>
      <c r="E2150" t="s">
        <v>8629</v>
      </c>
      <c r="F2150">
        <v>1.8</v>
      </c>
      <c r="G2150">
        <v>0.239999994635582</v>
      </c>
      <c r="H2150">
        <v>4177</v>
      </c>
      <c r="I2150">
        <v>10.64999961853027</v>
      </c>
      <c r="J2150" t="s">
        <v>8630</v>
      </c>
      <c r="K2150">
        <v>12700</v>
      </c>
      <c r="L2150">
        <v>7510</v>
      </c>
      <c r="M2150">
        <v>-40.869999999999997</v>
      </c>
      <c r="N2150">
        <v>-5.42</v>
      </c>
      <c r="O2150">
        <v>-6.65</v>
      </c>
      <c r="P2150">
        <v>-2.2400000000000002</v>
      </c>
      <c r="Q2150">
        <v>-8.9600000000000009</v>
      </c>
      <c r="R2150">
        <v>-12.94</v>
      </c>
      <c r="S2150">
        <v>-5.34</v>
      </c>
      <c r="T2150">
        <v>1.76</v>
      </c>
      <c r="U2150">
        <v>1.88</v>
      </c>
      <c r="V2150">
        <v>2.3199999999999998</v>
      </c>
      <c r="W2150">
        <v>2.83</v>
      </c>
      <c r="X2150">
        <v>1.5</v>
      </c>
      <c r="Y2150">
        <v>1.23</v>
      </c>
      <c r="Z2150">
        <v>3.08</v>
      </c>
      <c r="AA2150">
        <v>3.54</v>
      </c>
      <c r="AB2150">
        <v>0.97</v>
      </c>
      <c r="AC2150">
        <v>3.17</v>
      </c>
      <c r="AD2150">
        <v>8.6300000000000008</v>
      </c>
      <c r="AE2150">
        <v>4.34</v>
      </c>
      <c r="AF2150">
        <v>3.9550000000000001</v>
      </c>
      <c r="AG2150" t="str">
        <f>HYPERLINK("https://finance.naver.com/item/fchart.naver?code=210980", "SK디앤디 차트보기")</f>
        <v>SK디앤디 차트보기</v>
      </c>
    </row>
    <row r="2151" spans="1:33" x14ac:dyDescent="0.3">
      <c r="A2151" t="s">
        <v>8631</v>
      </c>
      <c r="B2151" t="s">
        <v>34</v>
      </c>
      <c r="C2151" t="s">
        <v>8632</v>
      </c>
      <c r="D2151">
        <v>87989.1</v>
      </c>
      <c r="E2151" t="s">
        <v>8633</v>
      </c>
      <c r="F2151">
        <v>3.15</v>
      </c>
      <c r="G2151">
        <v>0.54000002145767212</v>
      </c>
      <c r="H2151">
        <v>391</v>
      </c>
      <c r="I2151">
        <v>4.059999942779541</v>
      </c>
      <c r="J2151" t="s">
        <v>8634</v>
      </c>
      <c r="K2151">
        <v>1739</v>
      </c>
      <c r="L2151">
        <v>1233</v>
      </c>
      <c r="M2151">
        <v>-29.1</v>
      </c>
      <c r="N2151">
        <v>-3.22</v>
      </c>
      <c r="O2151">
        <v>-5.65</v>
      </c>
      <c r="P2151">
        <v>-5.21</v>
      </c>
      <c r="Q2151">
        <v>-4.4800000000000004</v>
      </c>
      <c r="R2151">
        <v>-14.07</v>
      </c>
      <c r="S2151">
        <v>-2.16</v>
      </c>
      <c r="T2151">
        <v>0.89</v>
      </c>
      <c r="U2151">
        <v>1.76</v>
      </c>
      <c r="V2151">
        <v>1.44</v>
      </c>
      <c r="W2151">
        <v>3.74</v>
      </c>
      <c r="X2151">
        <v>1.26</v>
      </c>
      <c r="Y2151">
        <v>2.33</v>
      </c>
      <c r="Z2151">
        <v>3.62</v>
      </c>
      <c r="AA2151">
        <v>3.21</v>
      </c>
      <c r="AB2151">
        <v>3.62</v>
      </c>
      <c r="AC2151">
        <v>1.2</v>
      </c>
      <c r="AD2151">
        <v>11.17</v>
      </c>
      <c r="AE2151">
        <v>0.93</v>
      </c>
      <c r="AF2151">
        <v>3.958333333333333</v>
      </c>
      <c r="AG2151" t="str">
        <f>HYPERLINK("https://finance.naver.com/item/fchart.naver?code=018500", "동원금속 차트보기")</f>
        <v>동원금속 차트보기</v>
      </c>
    </row>
    <row r="2152" spans="1:33" x14ac:dyDescent="0.3">
      <c r="A2152" t="s">
        <v>8635</v>
      </c>
      <c r="B2152" t="s">
        <v>55</v>
      </c>
      <c r="C2152" t="s">
        <v>8636</v>
      </c>
      <c r="D2152">
        <v>85067.86</v>
      </c>
      <c r="E2152" t="s">
        <v>8637</v>
      </c>
      <c r="F2152">
        <v>20.51</v>
      </c>
      <c r="G2152">
        <v>6.2199997901916504</v>
      </c>
      <c r="H2152">
        <v>2058</v>
      </c>
      <c r="I2152">
        <v>1.419999957084656</v>
      </c>
      <c r="J2152" t="s">
        <v>8638</v>
      </c>
      <c r="K2152">
        <v>64048</v>
      </c>
      <c r="L2152">
        <v>42200</v>
      </c>
      <c r="M2152">
        <v>-34.11</v>
      </c>
      <c r="N2152">
        <v>-7.66</v>
      </c>
      <c r="O2152">
        <v>-17.04</v>
      </c>
      <c r="P2152">
        <v>14.85</v>
      </c>
      <c r="Q2152">
        <v>-12.64</v>
      </c>
      <c r="R2152">
        <v>-17.39</v>
      </c>
      <c r="S2152">
        <v>-4.5199999999999996</v>
      </c>
      <c r="T2152">
        <v>3.58</v>
      </c>
      <c r="U2152">
        <v>3.57</v>
      </c>
      <c r="V2152">
        <v>5.76</v>
      </c>
      <c r="W2152">
        <v>4.26</v>
      </c>
      <c r="X2152">
        <v>1.83</v>
      </c>
      <c r="Y2152">
        <v>2.5299999999999998</v>
      </c>
      <c r="Z2152">
        <v>2.14</v>
      </c>
      <c r="AA2152">
        <v>4.7699999999999996</v>
      </c>
      <c r="AB2152">
        <v>2.58</v>
      </c>
      <c r="AC2152">
        <v>2.97</v>
      </c>
      <c r="AD2152">
        <v>9.5</v>
      </c>
      <c r="AE2152">
        <v>1.79</v>
      </c>
      <c r="AF2152">
        <v>3.958333333333333</v>
      </c>
      <c r="AG2152" t="str">
        <f>HYPERLINK("https://finance.naver.com/item/fchart.naver?code=383310", "에코프로에이치엔 차트보기")</f>
        <v>에코프로에이치엔 차트보기</v>
      </c>
    </row>
    <row r="2153" spans="1:33" x14ac:dyDescent="0.3">
      <c r="A2153" t="s">
        <v>8639</v>
      </c>
      <c r="B2153" t="s">
        <v>55</v>
      </c>
      <c r="C2153" t="s">
        <v>8640</v>
      </c>
      <c r="D2153">
        <v>282857.81</v>
      </c>
      <c r="E2153" t="s">
        <v>8641</v>
      </c>
      <c r="F2153">
        <v>0</v>
      </c>
      <c r="G2153">
        <v>4.4899997711181641</v>
      </c>
      <c r="H2153">
        <v>0</v>
      </c>
      <c r="I2153">
        <v>0</v>
      </c>
      <c r="J2153" t="s">
        <v>8642</v>
      </c>
      <c r="K2153">
        <v>8750</v>
      </c>
      <c r="L2153">
        <v>5500</v>
      </c>
      <c r="M2153">
        <v>-37.14</v>
      </c>
      <c r="N2153">
        <v>-20.75</v>
      </c>
      <c r="O2153">
        <v>22.24</v>
      </c>
      <c r="P2153">
        <v>-0.87</v>
      </c>
      <c r="Q2153">
        <v>-5.12</v>
      </c>
      <c r="R2153">
        <v>-25.93</v>
      </c>
      <c r="S2153">
        <v>-2.37</v>
      </c>
      <c r="T2153">
        <v>2.66</v>
      </c>
      <c r="U2153">
        <v>3.1</v>
      </c>
      <c r="V2153">
        <v>3.72</v>
      </c>
      <c r="W2153">
        <v>5.45</v>
      </c>
      <c r="X2153">
        <v>3.72</v>
      </c>
      <c r="Y2153">
        <v>3.62</v>
      </c>
      <c r="Z2153">
        <v>7.8</v>
      </c>
      <c r="AA2153">
        <v>7.17</v>
      </c>
      <c r="AB2153">
        <v>0.23</v>
      </c>
      <c r="AC2153">
        <v>0.94</v>
      </c>
      <c r="AD2153">
        <v>6.97</v>
      </c>
      <c r="AE2153">
        <v>0.65</v>
      </c>
      <c r="AF2153">
        <v>3.96</v>
      </c>
      <c r="AG2153" t="str">
        <f>HYPERLINK("https://finance.naver.com/item/fchart.naver?code=315640", "딥노이드 차트보기")</f>
        <v>딥노이드 차트보기</v>
      </c>
    </row>
    <row r="2154" spans="1:33" x14ac:dyDescent="0.3">
      <c r="A2154" t="s">
        <v>8643</v>
      </c>
      <c r="B2154" t="s">
        <v>55</v>
      </c>
      <c r="C2154" t="s">
        <v>8644</v>
      </c>
      <c r="D2154">
        <v>31873.38</v>
      </c>
      <c r="E2154" t="s">
        <v>8645</v>
      </c>
      <c r="F2154">
        <v>9.61</v>
      </c>
      <c r="G2154">
        <v>1.080000042915344</v>
      </c>
      <c r="H2154">
        <v>541</v>
      </c>
      <c r="I2154">
        <v>1.919999957084656</v>
      </c>
      <c r="J2154" t="s">
        <v>8646</v>
      </c>
      <c r="K2154">
        <v>7820</v>
      </c>
      <c r="L2154">
        <v>5200</v>
      </c>
      <c r="M2154">
        <v>-33.5</v>
      </c>
      <c r="N2154">
        <v>-6.31</v>
      </c>
      <c r="O2154">
        <v>-7.22</v>
      </c>
      <c r="P2154">
        <v>-7.41</v>
      </c>
      <c r="Q2154">
        <v>14.68</v>
      </c>
      <c r="R2154">
        <v>-16</v>
      </c>
      <c r="S2154">
        <v>-3.69</v>
      </c>
      <c r="T2154">
        <v>1.9</v>
      </c>
      <c r="U2154">
        <v>1.77</v>
      </c>
      <c r="V2154">
        <v>2.52</v>
      </c>
      <c r="W2154">
        <v>8.2899999999999991</v>
      </c>
      <c r="X2154">
        <v>1.6</v>
      </c>
      <c r="Y2154">
        <v>2.23</v>
      </c>
      <c r="Z2154">
        <v>3.32</v>
      </c>
      <c r="AA2154">
        <v>4.08</v>
      </c>
      <c r="AB2154">
        <v>2.94</v>
      </c>
      <c r="AC2154">
        <v>1.77</v>
      </c>
      <c r="AD2154">
        <v>10</v>
      </c>
      <c r="AE2154">
        <v>1.65</v>
      </c>
      <c r="AF2154">
        <v>3.96</v>
      </c>
      <c r="AG2154" t="str">
        <f>HYPERLINK("https://finance.naver.com/item/fchart.naver?code=318000", "KBG 차트보기")</f>
        <v>KBG 차트보기</v>
      </c>
    </row>
    <row r="2155" spans="1:33" x14ac:dyDescent="0.3">
      <c r="A2155" t="s">
        <v>8647</v>
      </c>
      <c r="B2155" t="s">
        <v>34</v>
      </c>
      <c r="C2155" t="s">
        <v>8648</v>
      </c>
      <c r="D2155">
        <v>12495.95</v>
      </c>
      <c r="E2155" t="s">
        <v>8649</v>
      </c>
      <c r="F2155">
        <v>0</v>
      </c>
      <c r="G2155">
        <v>0</v>
      </c>
      <c r="H2155">
        <v>0</v>
      </c>
      <c r="I2155">
        <v>3.8599998950958252</v>
      </c>
      <c r="J2155" t="s">
        <v>8650</v>
      </c>
      <c r="K2155">
        <v>4100</v>
      </c>
      <c r="L2155">
        <v>4280</v>
      </c>
      <c r="M2155">
        <v>4.3899999999999997</v>
      </c>
      <c r="N2155">
        <v>0.71</v>
      </c>
      <c r="O2155">
        <v>3.4</v>
      </c>
      <c r="P2155">
        <v>-1.54</v>
      </c>
      <c r="Q2155">
        <v>1.69</v>
      </c>
      <c r="R2155">
        <v>5.61</v>
      </c>
      <c r="S2155">
        <v>-0.51</v>
      </c>
      <c r="T2155">
        <v>0.16</v>
      </c>
      <c r="U2155">
        <v>0.36</v>
      </c>
      <c r="V2155">
        <v>1.07</v>
      </c>
      <c r="W2155">
        <v>1.96</v>
      </c>
      <c r="X2155">
        <v>0.82</v>
      </c>
      <c r="Y2155">
        <v>0.68</v>
      </c>
      <c r="Z2155">
        <v>4.4400000000000004</v>
      </c>
      <c r="AA2155">
        <v>9.44</v>
      </c>
      <c r="AB2155">
        <v>1.44</v>
      </c>
      <c r="AC2155">
        <v>0.86</v>
      </c>
      <c r="AD2155">
        <v>6.84</v>
      </c>
      <c r="AE2155">
        <v>0.75</v>
      </c>
      <c r="AF2155">
        <v>3.961666666666666</v>
      </c>
      <c r="AG2155" t="str">
        <f>HYPERLINK("https://finance.naver.com/item/fchart.naver?code=006805", "미래에셋증권우 차트보기")</f>
        <v>미래에셋증권우 차트보기</v>
      </c>
    </row>
    <row r="2156" spans="1:33" x14ac:dyDescent="0.3">
      <c r="A2156" t="s">
        <v>8651</v>
      </c>
      <c r="B2156" t="s">
        <v>55</v>
      </c>
      <c r="C2156" t="s">
        <v>8652</v>
      </c>
      <c r="D2156">
        <v>219856.14</v>
      </c>
      <c r="E2156" t="s">
        <v>8653</v>
      </c>
      <c r="F2156">
        <v>0</v>
      </c>
      <c r="G2156">
        <v>9.380000114440918</v>
      </c>
      <c r="H2156">
        <v>0</v>
      </c>
      <c r="I2156">
        <v>0</v>
      </c>
      <c r="J2156" t="s">
        <v>8654</v>
      </c>
      <c r="K2156">
        <v>16320</v>
      </c>
      <c r="L2156">
        <v>15190</v>
      </c>
      <c r="M2156">
        <v>-6.92</v>
      </c>
      <c r="N2156">
        <v>-3.8</v>
      </c>
      <c r="O2156">
        <v>15.27</v>
      </c>
      <c r="P2156">
        <v>-12.55</v>
      </c>
      <c r="Q2156">
        <v>25.57</v>
      </c>
      <c r="R2156">
        <v>-13.49</v>
      </c>
      <c r="S2156">
        <v>-11.26</v>
      </c>
      <c r="T2156">
        <v>2.08</v>
      </c>
      <c r="U2156">
        <v>2.63</v>
      </c>
      <c r="V2156">
        <v>4.58</v>
      </c>
      <c r="W2156">
        <v>6.28</v>
      </c>
      <c r="X2156">
        <v>2.79</v>
      </c>
      <c r="Y2156">
        <v>2.5</v>
      </c>
      <c r="Z2156">
        <v>1.83</v>
      </c>
      <c r="AA2156">
        <v>5.81</v>
      </c>
      <c r="AB2156">
        <v>2.74</v>
      </c>
      <c r="AC2156">
        <v>4.07</v>
      </c>
      <c r="AD2156">
        <v>4.84</v>
      </c>
      <c r="AE2156">
        <v>4.5</v>
      </c>
      <c r="AF2156">
        <v>3.9649999999999999</v>
      </c>
      <c r="AG2156" t="str">
        <f>HYPERLINK("https://finance.naver.com/item/fchart.naver?code=174900", "앱클론 차트보기")</f>
        <v>앱클론 차트보기</v>
      </c>
    </row>
    <row r="2157" spans="1:33" x14ac:dyDescent="0.3">
      <c r="A2157" t="s">
        <v>8655</v>
      </c>
      <c r="B2157" t="s">
        <v>55</v>
      </c>
      <c r="C2157" t="s">
        <v>8656</v>
      </c>
      <c r="D2157">
        <v>36868.9</v>
      </c>
      <c r="E2157" t="s">
        <v>8657</v>
      </c>
      <c r="F2157">
        <v>0</v>
      </c>
      <c r="G2157">
        <v>0.54000002145767212</v>
      </c>
      <c r="H2157">
        <v>0</v>
      </c>
      <c r="I2157">
        <v>0</v>
      </c>
      <c r="J2157" t="s">
        <v>8658</v>
      </c>
      <c r="K2157">
        <v>4580</v>
      </c>
      <c r="L2157">
        <v>8600</v>
      </c>
      <c r="M2157">
        <v>87.77</v>
      </c>
      <c r="N2157">
        <v>-4.4400000000000004</v>
      </c>
      <c r="O2157">
        <v>-9.07</v>
      </c>
      <c r="P2157">
        <v>4.97</v>
      </c>
      <c r="Q2157">
        <v>-15.08</v>
      </c>
      <c r="R2157">
        <v>31.97</v>
      </c>
      <c r="S2157">
        <v>50.66</v>
      </c>
      <c r="T2157">
        <v>3.12</v>
      </c>
      <c r="U2157">
        <v>2.97</v>
      </c>
      <c r="V2157">
        <v>7.08</v>
      </c>
      <c r="W2157">
        <v>3.98</v>
      </c>
      <c r="X2157">
        <v>4.2699999999999996</v>
      </c>
      <c r="Y2157">
        <v>6.9</v>
      </c>
      <c r="Z2157">
        <v>1.42</v>
      </c>
      <c r="AA2157">
        <v>3.05</v>
      </c>
      <c r="AB2157">
        <v>0.7</v>
      </c>
      <c r="AC2157">
        <v>3.79</v>
      </c>
      <c r="AD2157">
        <v>7.49</v>
      </c>
      <c r="AE2157">
        <v>7.34</v>
      </c>
      <c r="AF2157">
        <v>3.9649999999999999</v>
      </c>
      <c r="AG2157" t="str">
        <f>HYPERLINK("https://finance.naver.com/item/fchart.naver?code=078860", "엔에스이엔엠 차트보기")</f>
        <v>엔에스이엔엠 차트보기</v>
      </c>
    </row>
    <row r="2158" spans="1:33" x14ac:dyDescent="0.3">
      <c r="A2158" t="s">
        <v>8659</v>
      </c>
      <c r="B2158" t="s">
        <v>55</v>
      </c>
      <c r="C2158" t="s">
        <v>8660</v>
      </c>
      <c r="D2158">
        <v>18253.900000000001</v>
      </c>
      <c r="E2158" t="s">
        <v>8661</v>
      </c>
      <c r="F2158">
        <v>7.83</v>
      </c>
      <c r="G2158">
        <v>0.72000002861022949</v>
      </c>
      <c r="H2158">
        <v>556</v>
      </c>
      <c r="I2158">
        <v>0</v>
      </c>
      <c r="J2158" t="s">
        <v>8662</v>
      </c>
      <c r="K2158">
        <v>6410</v>
      </c>
      <c r="L2158">
        <v>4355</v>
      </c>
      <c r="M2158">
        <v>-32.06</v>
      </c>
      <c r="N2158">
        <v>-4.18</v>
      </c>
      <c r="O2158">
        <v>-9.8699999999999992</v>
      </c>
      <c r="P2158">
        <v>-3.35</v>
      </c>
      <c r="Q2158">
        <v>-9.3000000000000007</v>
      </c>
      <c r="R2158">
        <v>-10.050000000000001</v>
      </c>
      <c r="S2158">
        <v>-8.15</v>
      </c>
      <c r="T2158">
        <v>2.15</v>
      </c>
      <c r="U2158">
        <v>2.09</v>
      </c>
      <c r="V2158">
        <v>1.83</v>
      </c>
      <c r="W2158">
        <v>4.13</v>
      </c>
      <c r="X2158">
        <v>1.7</v>
      </c>
      <c r="Y2158">
        <v>1.1399999999999999</v>
      </c>
      <c r="Z2158">
        <v>1.94</v>
      </c>
      <c r="AA2158">
        <v>4.72</v>
      </c>
      <c r="AB2158">
        <v>1.83</v>
      </c>
      <c r="AC2158">
        <v>2.25</v>
      </c>
      <c r="AD2158">
        <v>5.91</v>
      </c>
      <c r="AE2158">
        <v>7.15</v>
      </c>
      <c r="AF2158">
        <v>3.9666666666666659</v>
      </c>
      <c r="AG2158" t="str">
        <f>HYPERLINK("https://finance.naver.com/item/fchart.naver?code=148930", "에이치와이티씨 차트보기")</f>
        <v>에이치와이티씨 차트보기</v>
      </c>
    </row>
    <row r="2159" spans="1:33" x14ac:dyDescent="0.3">
      <c r="A2159" t="s">
        <v>8663</v>
      </c>
      <c r="B2159" t="s">
        <v>55</v>
      </c>
      <c r="C2159" t="s">
        <v>8664</v>
      </c>
      <c r="D2159">
        <v>8349.14</v>
      </c>
      <c r="E2159" t="s">
        <v>8665</v>
      </c>
      <c r="F2159">
        <v>0</v>
      </c>
      <c r="G2159">
        <v>1.549999952316284</v>
      </c>
      <c r="H2159">
        <v>0</v>
      </c>
      <c r="I2159">
        <v>0</v>
      </c>
      <c r="J2159" t="s">
        <v>8666</v>
      </c>
      <c r="K2159">
        <v>1914</v>
      </c>
      <c r="L2159">
        <v>1369</v>
      </c>
      <c r="M2159">
        <v>-28.47</v>
      </c>
      <c r="N2159">
        <v>-7.81</v>
      </c>
      <c r="O2159">
        <v>-13.21</v>
      </c>
      <c r="P2159">
        <v>19.8</v>
      </c>
      <c r="Q2159">
        <v>-9.74</v>
      </c>
      <c r="R2159">
        <v>-1.55</v>
      </c>
      <c r="S2159">
        <v>-15.31</v>
      </c>
      <c r="T2159">
        <v>1.79</v>
      </c>
      <c r="U2159">
        <v>2</v>
      </c>
      <c r="V2159">
        <v>4.43</v>
      </c>
      <c r="W2159">
        <v>2.97</v>
      </c>
      <c r="X2159">
        <v>4.07</v>
      </c>
      <c r="Y2159">
        <v>3.25</v>
      </c>
      <c r="Z2159">
        <v>4.3600000000000003</v>
      </c>
      <c r="AA2159">
        <v>6.61</v>
      </c>
      <c r="AB2159">
        <v>4.47</v>
      </c>
      <c r="AC2159">
        <v>3.28</v>
      </c>
      <c r="AD2159">
        <v>0.38</v>
      </c>
      <c r="AE2159">
        <v>4.71</v>
      </c>
      <c r="AF2159">
        <v>3.9683333333333342</v>
      </c>
      <c r="AG2159" t="str">
        <f>HYPERLINK("https://finance.naver.com/item/fchart.naver?code=351320", "에스에이티이엔지 차트보기")</f>
        <v>에스에이티이엔지 차트보기</v>
      </c>
    </row>
    <row r="2160" spans="1:33" x14ac:dyDescent="0.3">
      <c r="A2160" t="s">
        <v>8667</v>
      </c>
      <c r="B2160" t="s">
        <v>55</v>
      </c>
      <c r="C2160" t="s">
        <v>8668</v>
      </c>
      <c r="D2160">
        <v>677935.71</v>
      </c>
      <c r="E2160" t="s">
        <v>8669</v>
      </c>
      <c r="J2160" t="s">
        <v>8670</v>
      </c>
      <c r="K2160">
        <v>1293</v>
      </c>
      <c r="L2160">
        <v>930</v>
      </c>
      <c r="M2160">
        <v>-28.07</v>
      </c>
      <c r="N2160">
        <v>-0.11</v>
      </c>
      <c r="O2160">
        <v>-11.61</v>
      </c>
      <c r="P2160">
        <v>15.6</v>
      </c>
      <c r="Q2160">
        <v>-9.48</v>
      </c>
      <c r="R2160">
        <v>-11.34</v>
      </c>
      <c r="S2160">
        <v>-8.08</v>
      </c>
      <c r="T2160">
        <v>2.78</v>
      </c>
      <c r="U2160">
        <v>2.2200000000000002</v>
      </c>
      <c r="V2160">
        <v>4.6399999999999997</v>
      </c>
      <c r="W2160">
        <v>4.28</v>
      </c>
      <c r="X2160">
        <v>1.69</v>
      </c>
      <c r="Y2160">
        <v>1.29</v>
      </c>
      <c r="Z2160">
        <v>0.04</v>
      </c>
      <c r="AA2160">
        <v>5.23</v>
      </c>
      <c r="AB2160">
        <v>3.36</v>
      </c>
      <c r="AC2160">
        <v>2.21</v>
      </c>
      <c r="AD2160">
        <v>6.71</v>
      </c>
      <c r="AE2160">
        <v>6.26</v>
      </c>
      <c r="AF2160">
        <v>3.9683333333333342</v>
      </c>
      <c r="AG2160" t="str">
        <f>HYPERLINK("https://finance.naver.com/item/fchart.naver?code=900250", "크리스탈신소재 차트보기")</f>
        <v>크리스탈신소재 차트보기</v>
      </c>
    </row>
    <row r="2161" spans="1:33" x14ac:dyDescent="0.3">
      <c r="A2161" t="s">
        <v>8671</v>
      </c>
      <c r="B2161" t="s">
        <v>55</v>
      </c>
      <c r="C2161" t="s">
        <v>8672</v>
      </c>
      <c r="D2161">
        <v>4138970.62</v>
      </c>
      <c r="E2161" t="s">
        <v>8673</v>
      </c>
      <c r="F2161">
        <v>23.03</v>
      </c>
      <c r="G2161">
        <v>0.56999999284744263</v>
      </c>
      <c r="H2161">
        <v>183</v>
      </c>
      <c r="I2161">
        <v>1.6599999666213989</v>
      </c>
      <c r="J2161" t="s">
        <v>8674</v>
      </c>
      <c r="K2161">
        <v>4375</v>
      </c>
      <c r="L2161">
        <v>4215</v>
      </c>
      <c r="M2161">
        <v>-3.66</v>
      </c>
      <c r="N2161">
        <v>-11.82</v>
      </c>
      <c r="O2161">
        <v>16.940000000000001</v>
      </c>
      <c r="P2161">
        <v>18.36</v>
      </c>
      <c r="Q2161">
        <v>-7.93</v>
      </c>
      <c r="R2161">
        <v>-5.13</v>
      </c>
      <c r="S2161">
        <v>-6.97</v>
      </c>
      <c r="T2161">
        <v>2.5299999999999998</v>
      </c>
      <c r="U2161">
        <v>6.92</v>
      </c>
      <c r="V2161">
        <v>9.0399999999999991</v>
      </c>
      <c r="W2161">
        <v>2.84</v>
      </c>
      <c r="X2161">
        <v>1.62</v>
      </c>
      <c r="Y2161">
        <v>0.8</v>
      </c>
      <c r="Z2161">
        <v>4.67</v>
      </c>
      <c r="AA2161">
        <v>2.4500000000000002</v>
      </c>
      <c r="AB2161">
        <v>2.0299999999999998</v>
      </c>
      <c r="AC2161">
        <v>2.79</v>
      </c>
      <c r="AD2161">
        <v>3.17</v>
      </c>
      <c r="AE2161">
        <v>8.7100000000000009</v>
      </c>
      <c r="AF2161">
        <v>3.97</v>
      </c>
      <c r="AG2161" t="str">
        <f>HYPERLINK("https://finance.naver.com/item/fchart.naver?code=015710", "코콤 차트보기")</f>
        <v>코콤 차트보기</v>
      </c>
    </row>
    <row r="2162" spans="1:33" x14ac:dyDescent="0.3">
      <c r="A2162" t="s">
        <v>8675</v>
      </c>
      <c r="B2162" t="s">
        <v>55</v>
      </c>
      <c r="C2162" t="s">
        <v>8676</v>
      </c>
      <c r="D2162">
        <v>227550.57</v>
      </c>
      <c r="E2162" t="s">
        <v>8677</v>
      </c>
      <c r="F2162">
        <v>16.72</v>
      </c>
      <c r="G2162">
        <v>2.4800000190734859</v>
      </c>
      <c r="H2162">
        <v>592</v>
      </c>
      <c r="I2162">
        <v>2.529999971389771</v>
      </c>
      <c r="J2162" t="s">
        <v>8678</v>
      </c>
      <c r="K2162">
        <v>16170</v>
      </c>
      <c r="L2162">
        <v>9900</v>
      </c>
      <c r="M2162">
        <v>-38.78</v>
      </c>
      <c r="N2162">
        <v>1.43</v>
      </c>
      <c r="O2162">
        <v>-2.92</v>
      </c>
      <c r="P2162">
        <v>-8.7100000000000009</v>
      </c>
      <c r="Q2162">
        <v>-8.1999999999999993</v>
      </c>
      <c r="R2162">
        <v>-13.73</v>
      </c>
      <c r="S2162">
        <v>-4.2699999999999996</v>
      </c>
      <c r="T2162">
        <v>8.01</v>
      </c>
      <c r="U2162">
        <v>1.1399999999999999</v>
      </c>
      <c r="V2162">
        <v>2.11</v>
      </c>
      <c r="W2162">
        <v>3.42</v>
      </c>
      <c r="X2162">
        <v>1.63</v>
      </c>
      <c r="Y2162">
        <v>0.69</v>
      </c>
      <c r="Z2162">
        <v>0.18</v>
      </c>
      <c r="AA2162">
        <v>2.56</v>
      </c>
      <c r="AB2162">
        <v>4.13</v>
      </c>
      <c r="AC2162">
        <v>2.4</v>
      </c>
      <c r="AD2162">
        <v>8.42</v>
      </c>
      <c r="AE2162">
        <v>6.19</v>
      </c>
      <c r="AF2162">
        <v>3.98</v>
      </c>
      <c r="AG2162" t="str">
        <f>HYPERLINK("https://finance.naver.com/item/fchart.naver?code=080160", "모두투어 차트보기")</f>
        <v>모두투어 차트보기</v>
      </c>
    </row>
    <row r="2163" spans="1:33" x14ac:dyDescent="0.3">
      <c r="A2163" t="s">
        <v>8679</v>
      </c>
      <c r="B2163" t="s">
        <v>55</v>
      </c>
      <c r="C2163" t="s">
        <v>8680</v>
      </c>
      <c r="D2163">
        <v>9594.1</v>
      </c>
      <c r="E2163" t="s">
        <v>8681</v>
      </c>
      <c r="F2163">
        <v>0</v>
      </c>
      <c r="G2163">
        <v>0.50999999046325684</v>
      </c>
      <c r="H2163">
        <v>0</v>
      </c>
      <c r="I2163">
        <v>0</v>
      </c>
      <c r="J2163" t="s">
        <v>8682</v>
      </c>
      <c r="K2163">
        <v>1997</v>
      </c>
      <c r="L2163">
        <v>1580</v>
      </c>
      <c r="M2163">
        <v>-20.88</v>
      </c>
      <c r="N2163">
        <v>-2.89</v>
      </c>
      <c r="O2163">
        <v>-6.57</v>
      </c>
      <c r="P2163">
        <v>-3.45</v>
      </c>
      <c r="Q2163">
        <v>-6.92</v>
      </c>
      <c r="R2163">
        <v>21.59</v>
      </c>
      <c r="S2163">
        <v>-9.16</v>
      </c>
      <c r="T2163">
        <v>0.8</v>
      </c>
      <c r="U2163">
        <v>2.38</v>
      </c>
      <c r="V2163">
        <v>0.93</v>
      </c>
      <c r="W2163">
        <v>1.98</v>
      </c>
      <c r="X2163">
        <v>4.79</v>
      </c>
      <c r="Y2163">
        <v>1.58</v>
      </c>
      <c r="Z2163">
        <v>3.61</v>
      </c>
      <c r="AA2163">
        <v>2.76</v>
      </c>
      <c r="AB2163">
        <v>3.71</v>
      </c>
      <c r="AC2163">
        <v>3.49</v>
      </c>
      <c r="AD2163">
        <v>4.51</v>
      </c>
      <c r="AE2163">
        <v>5.8</v>
      </c>
      <c r="AF2163">
        <v>3.98</v>
      </c>
      <c r="AG2163" t="str">
        <f>HYPERLINK("https://finance.naver.com/item/fchart.naver?code=312610", "에이에프더블류 차트보기")</f>
        <v>에이에프더블류 차트보기</v>
      </c>
    </row>
    <row r="2164" spans="1:33" x14ac:dyDescent="0.3">
      <c r="A2164" t="s">
        <v>8683</v>
      </c>
      <c r="B2164" t="s">
        <v>55</v>
      </c>
      <c r="C2164" t="s">
        <v>8684</v>
      </c>
      <c r="D2164">
        <v>61179.76</v>
      </c>
      <c r="E2164" t="s">
        <v>8685</v>
      </c>
      <c r="F2164">
        <v>0</v>
      </c>
      <c r="G2164">
        <v>0.4699999988079071</v>
      </c>
      <c r="H2164">
        <v>0</v>
      </c>
      <c r="I2164">
        <v>0</v>
      </c>
      <c r="J2164" t="s">
        <v>8686</v>
      </c>
      <c r="K2164">
        <v>1672</v>
      </c>
      <c r="L2164">
        <v>1360</v>
      </c>
      <c r="M2164">
        <v>-18.66</v>
      </c>
      <c r="N2164">
        <v>-5.23</v>
      </c>
      <c r="O2164">
        <v>-11.44</v>
      </c>
      <c r="P2164">
        <v>0.67</v>
      </c>
      <c r="Q2164">
        <v>-25.64</v>
      </c>
      <c r="R2164">
        <v>-6.93</v>
      </c>
      <c r="S2164">
        <v>43.82</v>
      </c>
      <c r="T2164">
        <v>1.92</v>
      </c>
      <c r="U2164">
        <v>1.29</v>
      </c>
      <c r="V2164">
        <v>1.41</v>
      </c>
      <c r="W2164">
        <v>4.16</v>
      </c>
      <c r="X2164">
        <v>5.69</v>
      </c>
      <c r="Y2164">
        <v>9.85</v>
      </c>
      <c r="Z2164">
        <v>2.72</v>
      </c>
      <c r="AA2164">
        <v>8.8699999999999992</v>
      </c>
      <c r="AB2164">
        <v>0.48</v>
      </c>
      <c r="AC2164">
        <v>6.16</v>
      </c>
      <c r="AD2164">
        <v>1.22</v>
      </c>
      <c r="AE2164">
        <v>4.45</v>
      </c>
      <c r="AF2164">
        <v>3.9833333333333329</v>
      </c>
      <c r="AG2164" t="str">
        <f>HYPERLINK("https://finance.naver.com/item/fchart.naver?code=198440", "강동씨앤엘 차트보기")</f>
        <v>강동씨앤엘 차트보기</v>
      </c>
    </row>
    <row r="2165" spans="1:33" x14ac:dyDescent="0.3">
      <c r="A2165" t="s">
        <v>8687</v>
      </c>
      <c r="B2165" t="s">
        <v>34</v>
      </c>
      <c r="C2165" t="s">
        <v>8688</v>
      </c>
      <c r="D2165">
        <v>911885.24</v>
      </c>
      <c r="E2165" t="s">
        <v>8689</v>
      </c>
      <c r="F2165">
        <v>0</v>
      </c>
      <c r="G2165">
        <v>0.68999999761581421</v>
      </c>
      <c r="H2165">
        <v>0</v>
      </c>
      <c r="I2165">
        <v>0</v>
      </c>
      <c r="J2165" t="s">
        <v>8690</v>
      </c>
      <c r="K2165">
        <v>4565</v>
      </c>
      <c r="L2165">
        <v>3885</v>
      </c>
      <c r="M2165">
        <v>-14.9</v>
      </c>
      <c r="N2165">
        <v>-5.47</v>
      </c>
      <c r="O2165">
        <v>6.43</v>
      </c>
      <c r="P2165">
        <v>9.8000000000000007</v>
      </c>
      <c r="Q2165">
        <v>-12.03</v>
      </c>
      <c r="R2165">
        <v>-11.62</v>
      </c>
      <c r="S2165">
        <v>-21.06</v>
      </c>
      <c r="T2165">
        <v>4.68</v>
      </c>
      <c r="U2165">
        <v>3.07</v>
      </c>
      <c r="V2165">
        <v>1.7</v>
      </c>
      <c r="W2165">
        <v>3.51</v>
      </c>
      <c r="X2165">
        <v>1.81</v>
      </c>
      <c r="Y2165">
        <v>4.1900000000000004</v>
      </c>
      <c r="Z2165">
        <v>1.17</v>
      </c>
      <c r="AA2165">
        <v>2.09</v>
      </c>
      <c r="AB2165">
        <v>5.76</v>
      </c>
      <c r="AC2165">
        <v>3.43</v>
      </c>
      <c r="AD2165">
        <v>6.42</v>
      </c>
      <c r="AE2165">
        <v>5.03</v>
      </c>
      <c r="AF2165">
        <v>3.9833333333333329</v>
      </c>
      <c r="AG2165" t="str">
        <f>HYPERLINK("https://finance.naver.com/item/fchart.naver?code=020120", "키다리스튜디오 차트보기")</f>
        <v>키다리스튜디오 차트보기</v>
      </c>
    </row>
    <row r="2166" spans="1:33" x14ac:dyDescent="0.3">
      <c r="A2166" t="s">
        <v>8691</v>
      </c>
      <c r="B2166" t="s">
        <v>55</v>
      </c>
      <c r="C2166" t="s">
        <v>8692</v>
      </c>
      <c r="D2166">
        <v>15013.05</v>
      </c>
      <c r="E2166" t="s">
        <v>8693</v>
      </c>
      <c r="F2166">
        <v>3.14</v>
      </c>
      <c r="G2166">
        <v>0.68999999761581421</v>
      </c>
      <c r="H2166">
        <v>1187</v>
      </c>
      <c r="I2166">
        <v>3.220000028610229</v>
      </c>
      <c r="J2166" t="s">
        <v>8694</v>
      </c>
      <c r="K2166">
        <v>5320</v>
      </c>
      <c r="L2166">
        <v>3725</v>
      </c>
      <c r="M2166">
        <v>-29.98</v>
      </c>
      <c r="N2166">
        <v>2.19</v>
      </c>
      <c r="O2166">
        <v>-7.99</v>
      </c>
      <c r="P2166">
        <v>-4.62</v>
      </c>
      <c r="Q2166">
        <v>-7.35</v>
      </c>
      <c r="R2166">
        <v>-7.69</v>
      </c>
      <c r="S2166">
        <v>-5.18</v>
      </c>
      <c r="T2166">
        <v>1.53</v>
      </c>
      <c r="U2166">
        <v>1.04</v>
      </c>
      <c r="V2166">
        <v>2.2400000000000002</v>
      </c>
      <c r="W2166">
        <v>3.43</v>
      </c>
      <c r="X2166">
        <v>1.2</v>
      </c>
      <c r="Y2166">
        <v>1.24</v>
      </c>
      <c r="Z2166">
        <v>1.43</v>
      </c>
      <c r="AA2166">
        <v>7.68</v>
      </c>
      <c r="AB2166">
        <v>2.06</v>
      </c>
      <c r="AC2166">
        <v>2.14</v>
      </c>
      <c r="AD2166">
        <v>6.41</v>
      </c>
      <c r="AE2166">
        <v>4.18</v>
      </c>
      <c r="AF2166">
        <v>3.9833333333333329</v>
      </c>
      <c r="AG2166" t="str">
        <f>HYPERLINK("https://finance.naver.com/item/fchart.naver?code=038680", "에스넷 차트보기")</f>
        <v>에스넷 차트보기</v>
      </c>
    </row>
    <row r="2167" spans="1:33" x14ac:dyDescent="0.3">
      <c r="A2167" t="s">
        <v>8695</v>
      </c>
      <c r="B2167" t="s">
        <v>55</v>
      </c>
      <c r="C2167" t="s">
        <v>8696</v>
      </c>
      <c r="D2167">
        <v>542849.05000000005</v>
      </c>
      <c r="E2167" t="s">
        <v>8697</v>
      </c>
      <c r="F2167">
        <v>32.14</v>
      </c>
      <c r="G2167">
        <v>1.470000028610229</v>
      </c>
      <c r="H2167">
        <v>332</v>
      </c>
      <c r="I2167">
        <v>1.4099999666213989</v>
      </c>
      <c r="J2167" t="s">
        <v>8698</v>
      </c>
      <c r="K2167">
        <v>14270</v>
      </c>
      <c r="L2167">
        <v>10670</v>
      </c>
      <c r="M2167">
        <v>-25.23</v>
      </c>
      <c r="N2167">
        <v>3.79</v>
      </c>
      <c r="O2167">
        <v>6.42</v>
      </c>
      <c r="P2167">
        <v>-6.59</v>
      </c>
      <c r="Q2167">
        <v>-14.65</v>
      </c>
      <c r="R2167">
        <v>-16.45</v>
      </c>
      <c r="S2167">
        <v>-6.71</v>
      </c>
      <c r="T2167">
        <v>2.48</v>
      </c>
      <c r="U2167">
        <v>2.83</v>
      </c>
      <c r="V2167">
        <v>3.22</v>
      </c>
      <c r="W2167">
        <v>4.41</v>
      </c>
      <c r="X2167">
        <v>1.48</v>
      </c>
      <c r="Y2167">
        <v>1.85</v>
      </c>
      <c r="Z2167">
        <v>1.53</v>
      </c>
      <c r="AA2167">
        <v>2.27</v>
      </c>
      <c r="AB2167">
        <v>2.0499999999999998</v>
      </c>
      <c r="AC2167">
        <v>3.32</v>
      </c>
      <c r="AD2167">
        <v>11.11</v>
      </c>
      <c r="AE2167">
        <v>3.63</v>
      </c>
      <c r="AF2167">
        <v>3.9849999999999999</v>
      </c>
      <c r="AG2167" t="str">
        <f>HYPERLINK("https://finance.naver.com/item/fchart.naver?code=086390", "유니테스트 차트보기")</f>
        <v>유니테스트 차트보기</v>
      </c>
    </row>
    <row r="2168" spans="1:33" x14ac:dyDescent="0.3">
      <c r="A2168" t="s">
        <v>8699</v>
      </c>
      <c r="B2168" t="s">
        <v>55</v>
      </c>
      <c r="C2168" t="s">
        <v>8700</v>
      </c>
      <c r="D2168">
        <v>107411.29</v>
      </c>
      <c r="E2168" t="s">
        <v>8701</v>
      </c>
      <c r="F2168">
        <v>0</v>
      </c>
      <c r="G2168">
        <v>0.80000001192092896</v>
      </c>
      <c r="H2168">
        <v>0</v>
      </c>
      <c r="I2168">
        <v>0</v>
      </c>
      <c r="J2168" t="s">
        <v>8702</v>
      </c>
      <c r="K2168">
        <v>1647</v>
      </c>
      <c r="L2168">
        <v>1270</v>
      </c>
      <c r="M2168">
        <v>-22.89</v>
      </c>
      <c r="N2168">
        <v>1.84</v>
      </c>
      <c r="O2168">
        <v>-7.97</v>
      </c>
      <c r="P2168">
        <v>1.57</v>
      </c>
      <c r="Q2168">
        <v>-14.77</v>
      </c>
      <c r="R2168">
        <v>17.07</v>
      </c>
      <c r="S2168">
        <v>-12.19</v>
      </c>
      <c r="T2168">
        <v>4.57</v>
      </c>
      <c r="U2168">
        <v>1.51</v>
      </c>
      <c r="V2168">
        <v>2.44</v>
      </c>
      <c r="W2168">
        <v>3.74</v>
      </c>
      <c r="X2168">
        <v>7.53</v>
      </c>
      <c r="Y2168">
        <v>1.07</v>
      </c>
      <c r="Z2168">
        <v>0.4</v>
      </c>
      <c r="AA2168">
        <v>5.28</v>
      </c>
      <c r="AB2168">
        <v>0.64</v>
      </c>
      <c r="AC2168">
        <v>3.95</v>
      </c>
      <c r="AD2168">
        <v>2.27</v>
      </c>
      <c r="AE2168">
        <v>11.39</v>
      </c>
      <c r="AF2168">
        <v>3.9883333333333328</v>
      </c>
      <c r="AG2168" t="str">
        <f>HYPERLINK("https://finance.naver.com/item/fchart.naver?code=094860", "네오리진 차트보기")</f>
        <v>네오리진 차트보기</v>
      </c>
    </row>
    <row r="2169" spans="1:33" x14ac:dyDescent="0.3">
      <c r="A2169" t="s">
        <v>8703</v>
      </c>
      <c r="B2169" t="s">
        <v>55</v>
      </c>
      <c r="C2169" t="s">
        <v>8704</v>
      </c>
      <c r="D2169">
        <v>73655.289999999994</v>
      </c>
      <c r="E2169" t="s">
        <v>8705</v>
      </c>
      <c r="F2169">
        <v>7.82</v>
      </c>
      <c r="G2169">
        <v>0.85000002384185791</v>
      </c>
      <c r="H2169">
        <v>148</v>
      </c>
      <c r="I2169">
        <v>0.60000002384185791</v>
      </c>
      <c r="J2169" t="s">
        <v>8706</v>
      </c>
      <c r="K2169">
        <v>1362</v>
      </c>
      <c r="L2169">
        <v>1158</v>
      </c>
      <c r="M2169">
        <v>-14.98</v>
      </c>
      <c r="N2169">
        <v>-3.74</v>
      </c>
      <c r="O2169">
        <v>-8.58</v>
      </c>
      <c r="P2169">
        <v>0</v>
      </c>
      <c r="Q2169">
        <v>10.17</v>
      </c>
      <c r="R2169">
        <v>4.33</v>
      </c>
      <c r="S2169">
        <v>-5.6</v>
      </c>
      <c r="T2169">
        <v>1.92</v>
      </c>
      <c r="U2169">
        <v>1.23</v>
      </c>
      <c r="V2169">
        <v>2.0699999999999998</v>
      </c>
      <c r="W2169">
        <v>8.11</v>
      </c>
      <c r="X2169">
        <v>2.69</v>
      </c>
      <c r="Y2169">
        <v>0.46</v>
      </c>
      <c r="Z2169">
        <v>1.95</v>
      </c>
      <c r="AA2169">
        <v>6.98</v>
      </c>
      <c r="AB2169">
        <v>0</v>
      </c>
      <c r="AC2169">
        <v>1.25</v>
      </c>
      <c r="AD2169">
        <v>1.61</v>
      </c>
      <c r="AE2169">
        <v>12.17</v>
      </c>
      <c r="AF2169">
        <v>3.9933333333333341</v>
      </c>
      <c r="AG2169" t="str">
        <f>HYPERLINK("https://finance.naver.com/item/fchart.naver?code=068330", "일신바이오 차트보기")</f>
        <v>일신바이오 차트보기</v>
      </c>
    </row>
    <row r="2170" spans="1:33" x14ac:dyDescent="0.3">
      <c r="A2170" t="s">
        <v>8707</v>
      </c>
      <c r="B2170" t="s">
        <v>34</v>
      </c>
      <c r="C2170" t="s">
        <v>8708</v>
      </c>
      <c r="D2170">
        <v>12014.95</v>
      </c>
      <c r="E2170" t="s">
        <v>8709</v>
      </c>
      <c r="F2170">
        <v>14.34</v>
      </c>
      <c r="G2170">
        <v>0.49000000953674322</v>
      </c>
      <c r="H2170">
        <v>7978</v>
      </c>
      <c r="I2170">
        <v>2.619999885559082</v>
      </c>
      <c r="J2170" t="s">
        <v>8710</v>
      </c>
      <c r="K2170">
        <v>138000</v>
      </c>
      <c r="L2170">
        <v>114400</v>
      </c>
      <c r="M2170">
        <v>-17.100000000000001</v>
      </c>
      <c r="N2170">
        <v>-9.42</v>
      </c>
      <c r="O2170">
        <v>-8.61</v>
      </c>
      <c r="P2170">
        <v>0.86</v>
      </c>
      <c r="Q2170">
        <v>-19.02</v>
      </c>
      <c r="R2170">
        <v>5.4</v>
      </c>
      <c r="S2170">
        <v>24.25</v>
      </c>
      <c r="T2170">
        <v>1.64</v>
      </c>
      <c r="U2170">
        <v>1.99</v>
      </c>
      <c r="V2170">
        <v>2.59</v>
      </c>
      <c r="W2170">
        <v>3.44</v>
      </c>
      <c r="X2170">
        <v>2.94</v>
      </c>
      <c r="Y2170">
        <v>3.9</v>
      </c>
      <c r="Z2170">
        <v>5.74</v>
      </c>
      <c r="AA2170">
        <v>4.33</v>
      </c>
      <c r="AB2170">
        <v>0.33</v>
      </c>
      <c r="AC2170">
        <v>5.53</v>
      </c>
      <c r="AD2170">
        <v>1.84</v>
      </c>
      <c r="AE2170">
        <v>6.22</v>
      </c>
      <c r="AF2170">
        <v>3.9983333333333331</v>
      </c>
      <c r="AG2170" t="str">
        <f>HYPERLINK("https://finance.naver.com/item/fchart.naver?code=280360", "롯데웰푸드 차트보기")</f>
        <v>롯데웰푸드 차트보기</v>
      </c>
    </row>
    <row r="2171" spans="1:33" x14ac:dyDescent="0.3">
      <c r="A2171" t="s">
        <v>8711</v>
      </c>
      <c r="B2171" t="s">
        <v>55</v>
      </c>
      <c r="C2171" t="s">
        <v>8712</v>
      </c>
      <c r="D2171">
        <v>18783.95</v>
      </c>
      <c r="E2171" t="s">
        <v>8713</v>
      </c>
      <c r="F2171">
        <v>0</v>
      </c>
      <c r="G2171">
        <v>1</v>
      </c>
      <c r="H2171">
        <v>0</v>
      </c>
      <c r="I2171">
        <v>0.50999999046325684</v>
      </c>
      <c r="J2171" t="s">
        <v>8714</v>
      </c>
      <c r="K2171">
        <v>14910</v>
      </c>
      <c r="L2171">
        <v>9900</v>
      </c>
      <c r="M2171">
        <v>-33.6</v>
      </c>
      <c r="N2171">
        <v>-2.17</v>
      </c>
      <c r="O2171">
        <v>-9.48</v>
      </c>
      <c r="P2171">
        <v>-15.79</v>
      </c>
      <c r="Q2171">
        <v>-3.47</v>
      </c>
      <c r="R2171">
        <v>-10</v>
      </c>
      <c r="S2171">
        <v>-10.17</v>
      </c>
      <c r="T2171">
        <v>2.72</v>
      </c>
      <c r="U2171">
        <v>1.59</v>
      </c>
      <c r="V2171">
        <v>2.57</v>
      </c>
      <c r="W2171">
        <v>4.21</v>
      </c>
      <c r="X2171">
        <v>1.7</v>
      </c>
      <c r="Y2171">
        <v>2.31</v>
      </c>
      <c r="Z2171">
        <v>0.8</v>
      </c>
      <c r="AA2171">
        <v>5.96</v>
      </c>
      <c r="AB2171">
        <v>6.14</v>
      </c>
      <c r="AC2171">
        <v>0.82</v>
      </c>
      <c r="AD2171">
        <v>5.88</v>
      </c>
      <c r="AE2171">
        <v>4.4000000000000004</v>
      </c>
      <c r="AF2171">
        <v>4</v>
      </c>
      <c r="AG2171" t="str">
        <f>HYPERLINK("https://finance.naver.com/item/fchart.naver?code=288620", "에스퓨얼셀 차트보기")</f>
        <v>에스퓨얼셀 차트보기</v>
      </c>
    </row>
    <row r="2172" spans="1:33" x14ac:dyDescent="0.3">
      <c r="A2172" t="s">
        <v>8715</v>
      </c>
      <c r="B2172" t="s">
        <v>55</v>
      </c>
      <c r="C2172" t="s">
        <v>8716</v>
      </c>
      <c r="D2172">
        <v>58481.95</v>
      </c>
      <c r="E2172" t="s">
        <v>8717</v>
      </c>
      <c r="F2172">
        <v>2.0299999999999998</v>
      </c>
      <c r="G2172">
        <v>0.52999997138977051</v>
      </c>
      <c r="H2172">
        <v>557</v>
      </c>
      <c r="I2172">
        <v>0</v>
      </c>
      <c r="J2172" t="s">
        <v>8718</v>
      </c>
      <c r="K2172">
        <v>1532</v>
      </c>
      <c r="L2172">
        <v>1131</v>
      </c>
      <c r="M2172">
        <v>-26.17</v>
      </c>
      <c r="N2172">
        <v>-1.91</v>
      </c>
      <c r="O2172">
        <v>9.33</v>
      </c>
      <c r="P2172">
        <v>-4.42</v>
      </c>
      <c r="Q2172">
        <v>-12.61</v>
      </c>
      <c r="R2172">
        <v>-9.99</v>
      </c>
      <c r="S2172">
        <v>-3.52</v>
      </c>
      <c r="T2172">
        <v>0.73</v>
      </c>
      <c r="U2172">
        <v>2.15</v>
      </c>
      <c r="V2172">
        <v>1.38</v>
      </c>
      <c r="W2172">
        <v>3.52</v>
      </c>
      <c r="X2172">
        <v>1.29</v>
      </c>
      <c r="Y2172">
        <v>1.39</v>
      </c>
      <c r="Z2172">
        <v>2.62</v>
      </c>
      <c r="AA2172">
        <v>4.34</v>
      </c>
      <c r="AB2172">
        <v>3.2</v>
      </c>
      <c r="AC2172">
        <v>3.58</v>
      </c>
      <c r="AD2172">
        <v>7.74</v>
      </c>
      <c r="AE2172">
        <v>2.5299999999999998</v>
      </c>
      <c r="AF2172">
        <v>4.0016666666666669</v>
      </c>
      <c r="AG2172" t="str">
        <f>HYPERLINK("https://finance.naver.com/item/fchart.naver?code=053060", "세동 차트보기")</f>
        <v>세동 차트보기</v>
      </c>
    </row>
    <row r="2173" spans="1:33" x14ac:dyDescent="0.3">
      <c r="A2173" t="s">
        <v>8719</v>
      </c>
      <c r="B2173" t="s">
        <v>34</v>
      </c>
      <c r="C2173" t="s">
        <v>8720</v>
      </c>
      <c r="D2173">
        <v>23186943.760000002</v>
      </c>
      <c r="E2173" t="s">
        <v>8721</v>
      </c>
      <c r="F2173">
        <v>17.34</v>
      </c>
      <c r="G2173">
        <v>0.47999998927116388</v>
      </c>
      <c r="H2173">
        <v>41</v>
      </c>
      <c r="I2173">
        <v>0</v>
      </c>
      <c r="J2173" t="s">
        <v>8722</v>
      </c>
      <c r="K2173">
        <v>478</v>
      </c>
      <c r="L2173">
        <v>711</v>
      </c>
      <c r="M2173">
        <v>48.74</v>
      </c>
      <c r="N2173">
        <v>-13.82</v>
      </c>
      <c r="O2173">
        <v>70.88</v>
      </c>
      <c r="P2173">
        <v>-4.84</v>
      </c>
      <c r="Q2173">
        <v>-2.61</v>
      </c>
      <c r="R2173">
        <v>24.18</v>
      </c>
      <c r="S2173">
        <v>-3.57</v>
      </c>
      <c r="T2173">
        <v>3.63</v>
      </c>
      <c r="U2173">
        <v>11.99</v>
      </c>
      <c r="V2173">
        <v>2.4900000000000002</v>
      </c>
      <c r="W2173">
        <v>2.46</v>
      </c>
      <c r="X2173">
        <v>3.06</v>
      </c>
      <c r="Y2173">
        <v>1.05</v>
      </c>
      <c r="Z2173">
        <v>3.81</v>
      </c>
      <c r="AA2173">
        <v>5.91</v>
      </c>
      <c r="AB2173">
        <v>1.94</v>
      </c>
      <c r="AC2173">
        <v>1.06</v>
      </c>
      <c r="AD2173">
        <v>7.9</v>
      </c>
      <c r="AE2173">
        <v>3.4</v>
      </c>
      <c r="AF2173">
        <v>4.003333333333333</v>
      </c>
      <c r="AG2173" t="str">
        <f>HYPERLINK("https://finance.naver.com/item/fchart.naver?code=004870", "티웨이홀딩스 차트보기")</f>
        <v>티웨이홀딩스 차트보기</v>
      </c>
    </row>
    <row r="2174" spans="1:33" x14ac:dyDescent="0.3">
      <c r="A2174" t="s">
        <v>8723</v>
      </c>
      <c r="B2174" t="s">
        <v>55</v>
      </c>
      <c r="C2174" t="s">
        <v>8724</v>
      </c>
      <c r="D2174">
        <v>15153.57</v>
      </c>
      <c r="E2174" t="s">
        <v>8725</v>
      </c>
      <c r="F2174">
        <v>0</v>
      </c>
      <c r="G2174">
        <v>1.549999952316284</v>
      </c>
      <c r="H2174">
        <v>0</v>
      </c>
      <c r="I2174">
        <v>1</v>
      </c>
      <c r="J2174" t="s">
        <v>8726</v>
      </c>
      <c r="K2174">
        <v>45900</v>
      </c>
      <c r="L2174">
        <v>20050</v>
      </c>
      <c r="M2174">
        <v>-56.32</v>
      </c>
      <c r="N2174">
        <v>-10.09</v>
      </c>
      <c r="O2174">
        <v>-10.08</v>
      </c>
      <c r="P2174">
        <v>-6.75</v>
      </c>
      <c r="Q2174">
        <v>-11.65</v>
      </c>
      <c r="R2174">
        <v>-34.78</v>
      </c>
      <c r="S2174">
        <v>-7.33</v>
      </c>
      <c r="T2174">
        <v>3.68</v>
      </c>
      <c r="U2174">
        <v>2.76</v>
      </c>
      <c r="V2174">
        <v>3.57</v>
      </c>
      <c r="W2174">
        <v>5.34</v>
      </c>
      <c r="X2174">
        <v>3.78</v>
      </c>
      <c r="Y2174">
        <v>1.67</v>
      </c>
      <c r="Z2174">
        <v>2.74</v>
      </c>
      <c r="AA2174">
        <v>3.65</v>
      </c>
      <c r="AB2174">
        <v>1.89</v>
      </c>
      <c r="AC2174">
        <v>2.1800000000000002</v>
      </c>
      <c r="AD2174">
        <v>9.1999999999999993</v>
      </c>
      <c r="AE2174">
        <v>4.3899999999999997</v>
      </c>
      <c r="AF2174">
        <v>4.0083333333333337</v>
      </c>
      <c r="AG2174" t="str">
        <f>HYPERLINK("https://finance.naver.com/item/fchart.naver?code=107600", "새빗켐 차트보기")</f>
        <v>새빗켐 차트보기</v>
      </c>
    </row>
    <row r="2175" spans="1:33" x14ac:dyDescent="0.3">
      <c r="A2175" t="s">
        <v>8727</v>
      </c>
      <c r="B2175" t="s">
        <v>55</v>
      </c>
      <c r="C2175" t="s">
        <v>8728</v>
      </c>
      <c r="D2175">
        <v>105709.95</v>
      </c>
      <c r="E2175" t="s">
        <v>8729</v>
      </c>
      <c r="F2175">
        <v>0</v>
      </c>
      <c r="G2175">
        <v>0.86000001430511475</v>
      </c>
      <c r="H2175">
        <v>0</v>
      </c>
      <c r="I2175">
        <v>0</v>
      </c>
      <c r="J2175" t="s">
        <v>8730</v>
      </c>
      <c r="K2175">
        <v>5130</v>
      </c>
      <c r="L2175">
        <v>2765</v>
      </c>
      <c r="M2175">
        <v>-46.1</v>
      </c>
      <c r="N2175">
        <v>-7.06</v>
      </c>
      <c r="O2175">
        <v>-11.2</v>
      </c>
      <c r="P2175">
        <v>-1.36</v>
      </c>
      <c r="Q2175">
        <v>-12.13</v>
      </c>
      <c r="R2175">
        <v>-15.94</v>
      </c>
      <c r="S2175">
        <v>-9.66</v>
      </c>
      <c r="T2175">
        <v>2.94</v>
      </c>
      <c r="U2175">
        <v>1.81</v>
      </c>
      <c r="V2175">
        <v>2.59</v>
      </c>
      <c r="W2175">
        <v>4.53</v>
      </c>
      <c r="X2175">
        <v>1.96</v>
      </c>
      <c r="Y2175">
        <v>2.3199999999999998</v>
      </c>
      <c r="Z2175">
        <v>2.4</v>
      </c>
      <c r="AA2175">
        <v>6.19</v>
      </c>
      <c r="AB2175">
        <v>0.53</v>
      </c>
      <c r="AC2175">
        <v>2.68</v>
      </c>
      <c r="AD2175">
        <v>8.1300000000000008</v>
      </c>
      <c r="AE2175">
        <v>4.16</v>
      </c>
      <c r="AF2175">
        <v>4.0149999999999997</v>
      </c>
      <c r="AG2175" t="str">
        <f>HYPERLINK("https://finance.naver.com/item/fchart.naver?code=217820", "원익피앤이 차트보기")</f>
        <v>원익피앤이 차트보기</v>
      </c>
    </row>
    <row r="2176" spans="1:33" x14ac:dyDescent="0.3">
      <c r="A2176" t="s">
        <v>8731</v>
      </c>
      <c r="B2176" t="s">
        <v>55</v>
      </c>
      <c r="C2176" t="s">
        <v>8732</v>
      </c>
      <c r="D2176">
        <v>135471.24</v>
      </c>
      <c r="E2176" t="s">
        <v>8733</v>
      </c>
      <c r="F2176">
        <v>20.059999999999999</v>
      </c>
      <c r="G2176">
        <v>2.4200000762939449</v>
      </c>
      <c r="H2176">
        <v>3719</v>
      </c>
      <c r="I2176">
        <v>1.610000014305115</v>
      </c>
      <c r="J2176" t="s">
        <v>8734</v>
      </c>
      <c r="K2176">
        <v>82700</v>
      </c>
      <c r="L2176">
        <v>74600</v>
      </c>
      <c r="M2176">
        <v>-9.7899999999999991</v>
      </c>
      <c r="N2176">
        <v>6.88</v>
      </c>
      <c r="O2176">
        <v>6.46</v>
      </c>
      <c r="P2176">
        <v>5.85</v>
      </c>
      <c r="Q2176">
        <v>-10.67</v>
      </c>
      <c r="R2176">
        <v>-12.3</v>
      </c>
      <c r="S2176">
        <v>-9.8699999999999992</v>
      </c>
      <c r="T2176">
        <v>3.41</v>
      </c>
      <c r="U2176">
        <v>1.71</v>
      </c>
      <c r="V2176">
        <v>3.25</v>
      </c>
      <c r="W2176">
        <v>3.37</v>
      </c>
      <c r="X2176">
        <v>1.23</v>
      </c>
      <c r="Y2176">
        <v>2.96</v>
      </c>
      <c r="Z2176">
        <v>2.02</v>
      </c>
      <c r="AA2176">
        <v>3.78</v>
      </c>
      <c r="AB2176">
        <v>1.8</v>
      </c>
      <c r="AC2176">
        <v>3.17</v>
      </c>
      <c r="AD2176">
        <v>10</v>
      </c>
      <c r="AE2176">
        <v>3.33</v>
      </c>
      <c r="AF2176">
        <v>4.0166666666666666</v>
      </c>
      <c r="AG2176" t="str">
        <f>HYPERLINK("https://finance.naver.com/item/fchart.naver?code=041510", "에스엠 차트보기")</f>
        <v>에스엠 차트보기</v>
      </c>
    </row>
    <row r="2177" spans="1:33" x14ac:dyDescent="0.3">
      <c r="A2177" t="s">
        <v>8735</v>
      </c>
      <c r="B2177" t="s">
        <v>34</v>
      </c>
      <c r="C2177" t="s">
        <v>8736</v>
      </c>
      <c r="D2177">
        <v>22951045.809999999</v>
      </c>
      <c r="E2177" t="s">
        <v>8737</v>
      </c>
      <c r="F2177">
        <v>25.81</v>
      </c>
      <c r="G2177">
        <v>1.059999942779541</v>
      </c>
      <c r="H2177">
        <v>2131</v>
      </c>
      <c r="I2177">
        <v>2.630000114440918</v>
      </c>
      <c r="J2177" t="s">
        <v>8738</v>
      </c>
      <c r="K2177">
        <v>78200</v>
      </c>
      <c r="L2177">
        <v>55000</v>
      </c>
      <c r="M2177">
        <v>-29.67</v>
      </c>
      <c r="N2177">
        <v>-5.66</v>
      </c>
      <c r="O2177">
        <v>-3.43</v>
      </c>
      <c r="P2177">
        <v>-17.34</v>
      </c>
      <c r="Q2177">
        <v>-10.59</v>
      </c>
      <c r="R2177">
        <v>2.57</v>
      </c>
      <c r="S2177">
        <v>7.66</v>
      </c>
      <c r="T2177">
        <v>1.43</v>
      </c>
      <c r="U2177">
        <v>1.99</v>
      </c>
      <c r="V2177">
        <v>2.0099999999999998</v>
      </c>
      <c r="W2177">
        <v>2.98</v>
      </c>
      <c r="X2177">
        <v>1.89</v>
      </c>
      <c r="Y2177">
        <v>1.57</v>
      </c>
      <c r="Z2177">
        <v>3.96</v>
      </c>
      <c r="AA2177">
        <v>1.72</v>
      </c>
      <c r="AB2177">
        <v>8.6300000000000008</v>
      </c>
      <c r="AC2177">
        <v>3.55</v>
      </c>
      <c r="AD2177">
        <v>1.36</v>
      </c>
      <c r="AE2177">
        <v>4.88</v>
      </c>
      <c r="AF2177">
        <v>4.0166666666666666</v>
      </c>
      <c r="AG2177" t="str">
        <f>HYPERLINK("https://finance.naver.com/item/fchart.naver?code=005930", "삼성전자 차트보기")</f>
        <v>삼성전자 차트보기</v>
      </c>
    </row>
    <row r="2178" spans="1:33" x14ac:dyDescent="0.3">
      <c r="A2178" t="s">
        <v>8739</v>
      </c>
      <c r="B2178" t="s">
        <v>55</v>
      </c>
      <c r="C2178" t="s">
        <v>8740</v>
      </c>
      <c r="D2178">
        <v>14027.86</v>
      </c>
      <c r="E2178" t="s">
        <v>8741</v>
      </c>
      <c r="F2178">
        <v>0</v>
      </c>
      <c r="G2178">
        <v>0.54000002145767212</v>
      </c>
      <c r="H2178">
        <v>0</v>
      </c>
      <c r="I2178">
        <v>0</v>
      </c>
      <c r="J2178" t="s">
        <v>8742</v>
      </c>
      <c r="K2178">
        <v>4350</v>
      </c>
      <c r="L2178">
        <v>2450</v>
      </c>
      <c r="M2178">
        <v>-43.68</v>
      </c>
      <c r="N2178">
        <v>-2.78</v>
      </c>
      <c r="O2178">
        <v>-6.68</v>
      </c>
      <c r="P2178">
        <v>-17.989999999999998</v>
      </c>
      <c r="Q2178">
        <v>4.1900000000000004</v>
      </c>
      <c r="R2178">
        <v>-12.61</v>
      </c>
      <c r="S2178">
        <v>-9.9</v>
      </c>
      <c r="T2178">
        <v>2.89</v>
      </c>
      <c r="U2178">
        <v>1.71</v>
      </c>
      <c r="V2178">
        <v>3.96</v>
      </c>
      <c r="W2178">
        <v>7.84</v>
      </c>
      <c r="X2178">
        <v>2.02</v>
      </c>
      <c r="Y2178">
        <v>1.25</v>
      </c>
      <c r="Z2178">
        <v>0.96</v>
      </c>
      <c r="AA2178">
        <v>3.91</v>
      </c>
      <c r="AB2178">
        <v>4.54</v>
      </c>
      <c r="AC2178">
        <v>0.53</v>
      </c>
      <c r="AD2178">
        <v>6.24</v>
      </c>
      <c r="AE2178">
        <v>7.92</v>
      </c>
      <c r="AF2178">
        <v>4.0166666666666666</v>
      </c>
      <c r="AG2178" t="str">
        <f>HYPERLINK("https://finance.naver.com/item/fchart.naver?code=197140", "디지캡 차트보기")</f>
        <v>디지캡 차트보기</v>
      </c>
    </row>
    <row r="2179" spans="1:33" x14ac:dyDescent="0.3">
      <c r="A2179" t="s">
        <v>8743</v>
      </c>
      <c r="B2179" t="s">
        <v>55</v>
      </c>
      <c r="C2179" t="s">
        <v>8744</v>
      </c>
      <c r="D2179">
        <v>21595.05</v>
      </c>
      <c r="E2179" t="s">
        <v>8745</v>
      </c>
      <c r="F2179">
        <v>0</v>
      </c>
      <c r="G2179">
        <v>1.8400000333786011</v>
      </c>
      <c r="H2179">
        <v>0</v>
      </c>
      <c r="I2179">
        <v>0</v>
      </c>
      <c r="J2179" t="s">
        <v>8746</v>
      </c>
      <c r="K2179">
        <v>13960</v>
      </c>
      <c r="L2179">
        <v>7800</v>
      </c>
      <c r="M2179">
        <v>-44.13</v>
      </c>
      <c r="N2179">
        <v>-6.47</v>
      </c>
      <c r="O2179">
        <v>-16.78</v>
      </c>
      <c r="P2179">
        <v>-3.05</v>
      </c>
      <c r="Q2179">
        <v>-12.84</v>
      </c>
      <c r="R2179">
        <v>-4.43</v>
      </c>
      <c r="S2179">
        <v>-9.11</v>
      </c>
      <c r="T2179">
        <v>2.0699999999999998</v>
      </c>
      <c r="U2179">
        <v>2.27</v>
      </c>
      <c r="V2179">
        <v>2.64</v>
      </c>
      <c r="W2179">
        <v>3.76</v>
      </c>
      <c r="X2179">
        <v>1.84</v>
      </c>
      <c r="Y2179">
        <v>1.38</v>
      </c>
      <c r="Z2179">
        <v>3.13</v>
      </c>
      <c r="AA2179">
        <v>7.39</v>
      </c>
      <c r="AB2179">
        <v>1.1599999999999999</v>
      </c>
      <c r="AC2179">
        <v>3.41</v>
      </c>
      <c r="AD2179">
        <v>2.41</v>
      </c>
      <c r="AE2179">
        <v>6.6</v>
      </c>
      <c r="AF2179">
        <v>4.0166666666666666</v>
      </c>
      <c r="AG2179" t="str">
        <f>HYPERLINK("https://finance.naver.com/item/fchart.naver?code=042520", "한스바이오메드 차트보기")</f>
        <v>한스바이오메드 차트보기</v>
      </c>
    </row>
    <row r="2180" spans="1:33" x14ac:dyDescent="0.3">
      <c r="A2180" t="s">
        <v>8747</v>
      </c>
      <c r="B2180" t="s">
        <v>34</v>
      </c>
      <c r="C2180" t="s">
        <v>8748</v>
      </c>
      <c r="D2180">
        <v>180390.95</v>
      </c>
      <c r="E2180" t="s">
        <v>8749</v>
      </c>
      <c r="F2180">
        <v>0</v>
      </c>
      <c r="G2180">
        <v>1.279999971389771</v>
      </c>
      <c r="H2180">
        <v>0</v>
      </c>
      <c r="I2180">
        <v>0</v>
      </c>
      <c r="J2180" t="s">
        <v>8750</v>
      </c>
      <c r="K2180">
        <v>758</v>
      </c>
      <c r="L2180">
        <v>734</v>
      </c>
      <c r="M2180">
        <v>-3.17</v>
      </c>
      <c r="N2180">
        <v>-0.94</v>
      </c>
      <c r="O2180">
        <v>-13.15</v>
      </c>
      <c r="P2180">
        <v>17.61</v>
      </c>
      <c r="Q2180">
        <v>3.06</v>
      </c>
      <c r="R2180">
        <v>-3.92</v>
      </c>
      <c r="S2180">
        <v>-3.63</v>
      </c>
      <c r="T2180">
        <v>2.61</v>
      </c>
      <c r="U2180">
        <v>3.88</v>
      </c>
      <c r="V2180">
        <v>2.2400000000000002</v>
      </c>
      <c r="W2180">
        <v>1.69</v>
      </c>
      <c r="X2180">
        <v>0.73</v>
      </c>
      <c r="Y2180">
        <v>0.68</v>
      </c>
      <c r="Z2180">
        <v>0.36</v>
      </c>
      <c r="AA2180">
        <v>3.39</v>
      </c>
      <c r="AB2180">
        <v>7.86</v>
      </c>
      <c r="AC2180">
        <v>1.81</v>
      </c>
      <c r="AD2180">
        <v>5.37</v>
      </c>
      <c r="AE2180">
        <v>5.34</v>
      </c>
      <c r="AF2180">
        <v>4.0216666666666674</v>
      </c>
      <c r="AG2180" t="str">
        <f>HYPERLINK("https://finance.naver.com/item/fchart.naver?code=001210", "금호전기 차트보기")</f>
        <v>금호전기 차트보기</v>
      </c>
    </row>
    <row r="2181" spans="1:33" x14ac:dyDescent="0.3">
      <c r="A2181" t="s">
        <v>8751</v>
      </c>
      <c r="B2181" t="s">
        <v>55</v>
      </c>
      <c r="C2181" t="s">
        <v>8752</v>
      </c>
      <c r="D2181">
        <v>143628.57</v>
      </c>
      <c r="E2181" t="s">
        <v>8753</v>
      </c>
      <c r="F2181">
        <v>2.98</v>
      </c>
      <c r="G2181">
        <v>0.62999999523162842</v>
      </c>
      <c r="H2181">
        <v>523</v>
      </c>
      <c r="I2181">
        <v>1.919999957084656</v>
      </c>
      <c r="J2181" t="s">
        <v>8754</v>
      </c>
      <c r="K2181">
        <v>1781</v>
      </c>
      <c r="L2181">
        <v>1560</v>
      </c>
      <c r="M2181">
        <v>-12.41</v>
      </c>
      <c r="N2181">
        <v>6.92</v>
      </c>
      <c r="O2181">
        <v>3.81</v>
      </c>
      <c r="P2181">
        <v>-6.15</v>
      </c>
      <c r="Q2181">
        <v>-9.83</v>
      </c>
      <c r="R2181">
        <v>5.48</v>
      </c>
      <c r="S2181">
        <v>-6.61</v>
      </c>
      <c r="T2181">
        <v>2.5499999999999998</v>
      </c>
      <c r="U2181">
        <v>0.94</v>
      </c>
      <c r="V2181">
        <v>1.73</v>
      </c>
      <c r="W2181">
        <v>2.89</v>
      </c>
      <c r="X2181">
        <v>2.13</v>
      </c>
      <c r="Y2181">
        <v>0.84</v>
      </c>
      <c r="Z2181">
        <v>2.71</v>
      </c>
      <c r="AA2181">
        <v>4.05</v>
      </c>
      <c r="AB2181">
        <v>3.55</v>
      </c>
      <c r="AC2181">
        <v>3.4</v>
      </c>
      <c r="AD2181">
        <v>2.57</v>
      </c>
      <c r="AE2181">
        <v>7.87</v>
      </c>
      <c r="AF2181">
        <v>4.0249999999999986</v>
      </c>
      <c r="AG2181" t="str">
        <f>HYPERLINK("https://finance.naver.com/item/fchart.naver?code=090410", "덕신이피씨 차트보기")</f>
        <v>덕신이피씨 차트보기</v>
      </c>
    </row>
    <row r="2182" spans="1:33" x14ac:dyDescent="0.3">
      <c r="A2182" t="s">
        <v>8755</v>
      </c>
      <c r="B2182" t="s">
        <v>55</v>
      </c>
      <c r="C2182" t="s">
        <v>8756</v>
      </c>
      <c r="D2182">
        <v>52472.9</v>
      </c>
      <c r="E2182" t="s">
        <v>8757</v>
      </c>
      <c r="F2182">
        <v>0</v>
      </c>
      <c r="G2182">
        <v>1.320000052452087</v>
      </c>
      <c r="H2182">
        <v>0</v>
      </c>
      <c r="I2182">
        <v>0</v>
      </c>
      <c r="J2182" t="s">
        <v>8758</v>
      </c>
      <c r="K2182">
        <v>20950</v>
      </c>
      <c r="L2182">
        <v>13150</v>
      </c>
      <c r="M2182">
        <v>-37.229999999999997</v>
      </c>
      <c r="N2182">
        <v>-4.92</v>
      </c>
      <c r="O2182">
        <v>-14.91</v>
      </c>
      <c r="P2182">
        <v>13.81</v>
      </c>
      <c r="Q2182">
        <v>-27.14</v>
      </c>
      <c r="R2182">
        <v>-14.8</v>
      </c>
      <c r="S2182">
        <v>-23.54</v>
      </c>
      <c r="T2182">
        <v>3.84</v>
      </c>
      <c r="U2182">
        <v>2.29</v>
      </c>
      <c r="V2182">
        <v>5</v>
      </c>
      <c r="W2182">
        <v>6.06</v>
      </c>
      <c r="X2182">
        <v>3.95</v>
      </c>
      <c r="Y2182">
        <v>4.38</v>
      </c>
      <c r="Z2182">
        <v>1.28</v>
      </c>
      <c r="AA2182">
        <v>6.51</v>
      </c>
      <c r="AB2182">
        <v>2.76</v>
      </c>
      <c r="AC2182">
        <v>4.4800000000000004</v>
      </c>
      <c r="AD2182">
        <v>3.75</v>
      </c>
      <c r="AE2182">
        <v>5.37</v>
      </c>
      <c r="AF2182">
        <v>4.0250000000000004</v>
      </c>
      <c r="AG2182" t="str">
        <f>HYPERLINK("https://finance.naver.com/item/fchart.naver?code=406820", "뷰티스킨 차트보기")</f>
        <v>뷰티스킨 차트보기</v>
      </c>
    </row>
    <row r="2183" spans="1:33" x14ac:dyDescent="0.3">
      <c r="A2183" t="s">
        <v>8759</v>
      </c>
      <c r="B2183" t="s">
        <v>55</v>
      </c>
      <c r="C2183" t="s">
        <v>8760</v>
      </c>
      <c r="D2183">
        <v>960636</v>
      </c>
      <c r="E2183" t="s">
        <v>8761</v>
      </c>
      <c r="F2183">
        <v>0</v>
      </c>
      <c r="G2183">
        <v>6.809999942779541</v>
      </c>
      <c r="H2183">
        <v>0</v>
      </c>
      <c r="I2183">
        <v>0.31000000238418579</v>
      </c>
      <c r="J2183" t="s">
        <v>8762</v>
      </c>
      <c r="K2183">
        <v>36950</v>
      </c>
      <c r="L2183">
        <v>41350</v>
      </c>
      <c r="M2183">
        <v>11.91</v>
      </c>
      <c r="N2183">
        <v>-8.6199999999999992</v>
      </c>
      <c r="O2183">
        <v>22.19</v>
      </c>
      <c r="P2183">
        <v>-3.5</v>
      </c>
      <c r="Q2183">
        <v>-20.329999999999998</v>
      </c>
      <c r="R2183">
        <v>-5.55</v>
      </c>
      <c r="S2183">
        <v>47.17</v>
      </c>
      <c r="T2183">
        <v>3.51</v>
      </c>
      <c r="U2183">
        <v>4.24</v>
      </c>
      <c r="V2183">
        <v>5.34</v>
      </c>
      <c r="W2183">
        <v>6.42</v>
      </c>
      <c r="X2183">
        <v>5.79</v>
      </c>
      <c r="Y2183">
        <v>4.04</v>
      </c>
      <c r="Z2183">
        <v>2.46</v>
      </c>
      <c r="AA2183">
        <v>5.23</v>
      </c>
      <c r="AB2183">
        <v>0.66</v>
      </c>
      <c r="AC2183">
        <v>3.17</v>
      </c>
      <c r="AD2183">
        <v>0.96</v>
      </c>
      <c r="AE2183">
        <v>11.68</v>
      </c>
      <c r="AF2183">
        <v>4.0266666666666664</v>
      </c>
      <c r="AG2183" t="str">
        <f>HYPERLINK("https://finance.naver.com/item/fchart.naver?code=089030", "테크윙 차트보기")</f>
        <v>테크윙 차트보기</v>
      </c>
    </row>
    <row r="2184" spans="1:33" x14ac:dyDescent="0.3">
      <c r="A2184" t="s">
        <v>8763</v>
      </c>
      <c r="B2184" t="s">
        <v>55</v>
      </c>
      <c r="C2184" t="s">
        <v>8764</v>
      </c>
      <c r="D2184">
        <v>1024752.43</v>
      </c>
      <c r="E2184" t="s">
        <v>8765</v>
      </c>
      <c r="F2184">
        <v>233.71</v>
      </c>
      <c r="G2184">
        <v>1.440000057220459</v>
      </c>
      <c r="H2184">
        <v>7</v>
      </c>
      <c r="I2184">
        <v>0</v>
      </c>
      <c r="J2184" t="s">
        <v>8766</v>
      </c>
      <c r="K2184">
        <v>2505</v>
      </c>
      <c r="L2184">
        <v>1636</v>
      </c>
      <c r="M2184">
        <v>-34.69</v>
      </c>
      <c r="N2184">
        <v>5.89</v>
      </c>
      <c r="O2184">
        <v>6.43</v>
      </c>
      <c r="P2184">
        <v>2.23</v>
      </c>
      <c r="Q2184">
        <v>-13.27</v>
      </c>
      <c r="R2184">
        <v>-17.989999999999998</v>
      </c>
      <c r="S2184">
        <v>-9.74</v>
      </c>
      <c r="T2184">
        <v>3.35</v>
      </c>
      <c r="U2184">
        <v>2.82</v>
      </c>
      <c r="V2184">
        <v>3.78</v>
      </c>
      <c r="W2184">
        <v>5.66</v>
      </c>
      <c r="X2184">
        <v>1.62</v>
      </c>
      <c r="Y2184">
        <v>1.6</v>
      </c>
      <c r="Z2184">
        <v>1.76</v>
      </c>
      <c r="AA2184">
        <v>2.2799999999999998</v>
      </c>
      <c r="AB2184">
        <v>0.59</v>
      </c>
      <c r="AC2184">
        <v>2.34</v>
      </c>
      <c r="AD2184">
        <v>11.1</v>
      </c>
      <c r="AE2184">
        <v>6.09</v>
      </c>
      <c r="AF2184">
        <v>4.0266666666666664</v>
      </c>
      <c r="AG2184" t="str">
        <f>HYPERLINK("https://finance.naver.com/item/fchart.naver?code=288980", "모아데이타 차트보기")</f>
        <v>모아데이타 차트보기</v>
      </c>
    </row>
    <row r="2185" spans="1:33" x14ac:dyDescent="0.3">
      <c r="A2185" t="s">
        <v>8767</v>
      </c>
      <c r="B2185" t="s">
        <v>34</v>
      </c>
      <c r="C2185" t="s">
        <v>8768</v>
      </c>
      <c r="D2185">
        <v>25627.67</v>
      </c>
      <c r="E2185" t="s">
        <v>8769</v>
      </c>
      <c r="F2185">
        <v>17.940000000000001</v>
      </c>
      <c r="G2185">
        <v>1.190000057220459</v>
      </c>
      <c r="H2185">
        <v>987</v>
      </c>
      <c r="I2185">
        <v>2.8199999332427979</v>
      </c>
      <c r="J2185" t="s">
        <v>8770</v>
      </c>
      <c r="K2185">
        <v>16880</v>
      </c>
      <c r="L2185">
        <v>17710</v>
      </c>
      <c r="M2185">
        <v>4.92</v>
      </c>
      <c r="N2185">
        <v>-0.56000000000000005</v>
      </c>
      <c r="O2185">
        <v>9.89</v>
      </c>
      <c r="P2185">
        <v>8.32</v>
      </c>
      <c r="Q2185">
        <v>-8.11</v>
      </c>
      <c r="R2185">
        <v>-7.8</v>
      </c>
      <c r="S2185">
        <v>-5.55</v>
      </c>
      <c r="T2185">
        <v>1.1100000000000001</v>
      </c>
      <c r="U2185">
        <v>1.28</v>
      </c>
      <c r="V2185">
        <v>1.76</v>
      </c>
      <c r="W2185">
        <v>3.65</v>
      </c>
      <c r="X2185">
        <v>1.55</v>
      </c>
      <c r="Y2185">
        <v>1.4</v>
      </c>
      <c r="Z2185">
        <v>0.5</v>
      </c>
      <c r="AA2185">
        <v>7.73</v>
      </c>
      <c r="AB2185">
        <v>4.7300000000000004</v>
      </c>
      <c r="AC2185">
        <v>2.2200000000000002</v>
      </c>
      <c r="AD2185">
        <v>5.03</v>
      </c>
      <c r="AE2185">
        <v>3.96</v>
      </c>
      <c r="AF2185">
        <v>4.0283333333333333</v>
      </c>
      <c r="AG2185" t="str">
        <f>HYPERLINK("https://finance.naver.com/item/fchart.naver?code=267850", "아시아나IDT 차트보기")</f>
        <v>아시아나IDT 차트보기</v>
      </c>
    </row>
    <row r="2186" spans="1:33" x14ac:dyDescent="0.3">
      <c r="A2186" t="s">
        <v>8771</v>
      </c>
      <c r="B2186" t="s">
        <v>34</v>
      </c>
      <c r="C2186" t="s">
        <v>8772</v>
      </c>
      <c r="D2186">
        <v>9300.48</v>
      </c>
      <c r="E2186" t="s">
        <v>8773</v>
      </c>
      <c r="F2186">
        <v>6.25</v>
      </c>
      <c r="G2186">
        <v>0.57999998331069946</v>
      </c>
      <c r="H2186">
        <v>1112</v>
      </c>
      <c r="I2186">
        <v>2.589999914169312</v>
      </c>
      <c r="J2186" t="s">
        <v>8774</v>
      </c>
      <c r="K2186">
        <v>8630</v>
      </c>
      <c r="L2186">
        <v>6950</v>
      </c>
      <c r="M2186">
        <v>-19.47</v>
      </c>
      <c r="N2186">
        <v>-0.28999999999999998</v>
      </c>
      <c r="O2186">
        <v>-11.87</v>
      </c>
      <c r="P2186">
        <v>1.27</v>
      </c>
      <c r="Q2186">
        <v>4.6399999999999997</v>
      </c>
      <c r="R2186">
        <v>-7.53</v>
      </c>
      <c r="S2186">
        <v>-4.54</v>
      </c>
      <c r="T2186">
        <v>0.69</v>
      </c>
      <c r="U2186">
        <v>0.75</v>
      </c>
      <c r="V2186">
        <v>1.85</v>
      </c>
      <c r="W2186">
        <v>2.42</v>
      </c>
      <c r="X2186">
        <v>2.2599999999999998</v>
      </c>
      <c r="Y2186">
        <v>2.2599999999999998</v>
      </c>
      <c r="Z2186">
        <v>0.42</v>
      </c>
      <c r="AA2186">
        <v>15.83</v>
      </c>
      <c r="AB2186">
        <v>0.69</v>
      </c>
      <c r="AC2186">
        <v>1.92</v>
      </c>
      <c r="AD2186">
        <v>3.33</v>
      </c>
      <c r="AE2186">
        <v>2.0099999999999998</v>
      </c>
      <c r="AF2186">
        <v>4.0333333333333323</v>
      </c>
      <c r="AG2186" t="str">
        <f>HYPERLINK("https://finance.naver.com/item/fchart.naver?code=023810", "인팩 차트보기")</f>
        <v>인팩 차트보기</v>
      </c>
    </row>
    <row r="2187" spans="1:33" x14ac:dyDescent="0.3">
      <c r="A2187" t="s">
        <v>8775</v>
      </c>
      <c r="B2187" t="s">
        <v>55</v>
      </c>
      <c r="C2187" t="s">
        <v>8776</v>
      </c>
      <c r="D2187">
        <v>347730.48</v>
      </c>
      <c r="E2187" t="s">
        <v>8777</v>
      </c>
      <c r="F2187">
        <v>0</v>
      </c>
      <c r="G2187">
        <v>8.1400003433227539</v>
      </c>
      <c r="H2187">
        <v>0</v>
      </c>
      <c r="I2187">
        <v>0</v>
      </c>
      <c r="J2187" t="s">
        <v>8778</v>
      </c>
      <c r="K2187">
        <v>12090</v>
      </c>
      <c r="L2187">
        <v>11610</v>
      </c>
      <c r="M2187">
        <v>-3.97</v>
      </c>
      <c r="N2187">
        <v>10.89</v>
      </c>
      <c r="O2187">
        <v>-1.56</v>
      </c>
      <c r="P2187">
        <v>36.54</v>
      </c>
      <c r="Q2187">
        <v>-4.1100000000000003</v>
      </c>
      <c r="R2187">
        <v>-23.31</v>
      </c>
      <c r="S2187">
        <v>-11.43</v>
      </c>
      <c r="T2187">
        <v>2.73</v>
      </c>
      <c r="U2187">
        <v>4.68</v>
      </c>
      <c r="V2187">
        <v>6.39</v>
      </c>
      <c r="W2187">
        <v>6.25</v>
      </c>
      <c r="X2187">
        <v>2.65</v>
      </c>
      <c r="Y2187">
        <v>2.4300000000000002</v>
      </c>
      <c r="Z2187">
        <v>3.99</v>
      </c>
      <c r="AA2187">
        <v>0.33</v>
      </c>
      <c r="AB2187">
        <v>5.72</v>
      </c>
      <c r="AC2187">
        <v>0.66</v>
      </c>
      <c r="AD2187">
        <v>8.8000000000000007</v>
      </c>
      <c r="AE2187">
        <v>4.7</v>
      </c>
      <c r="AF2187">
        <v>4.0333333333333332</v>
      </c>
      <c r="AG2187" t="str">
        <f>HYPERLINK("https://finance.naver.com/item/fchart.naver?code=424960", "스마트레이더시스템 차트보기")</f>
        <v>스마트레이더시스템 차트보기</v>
      </c>
    </row>
    <row r="2188" spans="1:33" x14ac:dyDescent="0.3">
      <c r="A2188" t="s">
        <v>8779</v>
      </c>
      <c r="B2188" t="s">
        <v>55</v>
      </c>
      <c r="C2188" t="s">
        <v>8780</v>
      </c>
      <c r="D2188">
        <v>238829.9</v>
      </c>
      <c r="E2188" t="s">
        <v>8781</v>
      </c>
      <c r="F2188">
        <v>0</v>
      </c>
      <c r="G2188">
        <v>25.85000038146973</v>
      </c>
      <c r="H2188">
        <v>0</v>
      </c>
      <c r="I2188">
        <v>0</v>
      </c>
      <c r="J2188" t="s">
        <v>8782</v>
      </c>
      <c r="K2188">
        <v>33250</v>
      </c>
      <c r="L2188">
        <v>123700</v>
      </c>
      <c r="M2188">
        <v>272.02999999999997</v>
      </c>
      <c r="N2188">
        <v>14.54</v>
      </c>
      <c r="O2188">
        <v>17.16</v>
      </c>
      <c r="P2188">
        <v>18</v>
      </c>
      <c r="Q2188">
        <v>6</v>
      </c>
      <c r="R2188">
        <v>44.34</v>
      </c>
      <c r="S2188">
        <v>13.74</v>
      </c>
      <c r="T2188">
        <v>5.54</v>
      </c>
      <c r="U2188">
        <v>3.84</v>
      </c>
      <c r="V2188">
        <v>5.0199999999999996</v>
      </c>
      <c r="W2188">
        <v>8.5399999999999991</v>
      </c>
      <c r="X2188">
        <v>4.4800000000000004</v>
      </c>
      <c r="Y2188">
        <v>4.67</v>
      </c>
      <c r="Z2188">
        <v>2.62</v>
      </c>
      <c r="AA2188">
        <v>4.47</v>
      </c>
      <c r="AB2188">
        <v>3.59</v>
      </c>
      <c r="AC2188">
        <v>0.7</v>
      </c>
      <c r="AD2188">
        <v>9.9</v>
      </c>
      <c r="AE2188">
        <v>2.94</v>
      </c>
      <c r="AF2188">
        <v>4.0366666666666671</v>
      </c>
      <c r="AG2188" t="str">
        <f>HYPERLINK("https://finance.naver.com/item/fchart.naver?code=310210", "보로노이 차트보기")</f>
        <v>보로노이 차트보기</v>
      </c>
    </row>
    <row r="2189" spans="1:33" x14ac:dyDescent="0.3">
      <c r="A2189" t="s">
        <v>8783</v>
      </c>
      <c r="B2189" t="s">
        <v>34</v>
      </c>
      <c r="C2189" t="s">
        <v>8784</v>
      </c>
      <c r="D2189">
        <v>227772</v>
      </c>
      <c r="E2189" t="s">
        <v>8785</v>
      </c>
      <c r="F2189">
        <v>5.59</v>
      </c>
      <c r="G2189">
        <v>2.3900001049041748</v>
      </c>
      <c r="H2189">
        <v>1650</v>
      </c>
      <c r="I2189">
        <v>0</v>
      </c>
      <c r="J2189" t="s">
        <v>8786</v>
      </c>
      <c r="K2189">
        <v>11100</v>
      </c>
      <c r="L2189">
        <v>9220</v>
      </c>
      <c r="M2189">
        <v>-16.940000000000001</v>
      </c>
      <c r="N2189">
        <v>0.66</v>
      </c>
      <c r="O2189">
        <v>6.37</v>
      </c>
      <c r="P2189">
        <v>-4.1500000000000004</v>
      </c>
      <c r="Q2189">
        <v>-2.27</v>
      </c>
      <c r="R2189">
        <v>-7.77</v>
      </c>
      <c r="S2189">
        <v>-5.59</v>
      </c>
      <c r="T2189">
        <v>3.08</v>
      </c>
      <c r="U2189">
        <v>1.67</v>
      </c>
      <c r="V2189">
        <v>1.51</v>
      </c>
      <c r="W2189">
        <v>2.6</v>
      </c>
      <c r="X2189">
        <v>0.77</v>
      </c>
      <c r="Y2189">
        <v>0.86</v>
      </c>
      <c r="Z2189">
        <v>0.21</v>
      </c>
      <c r="AA2189">
        <v>3.81</v>
      </c>
      <c r="AB2189">
        <v>2.75</v>
      </c>
      <c r="AC2189">
        <v>0.87</v>
      </c>
      <c r="AD2189">
        <v>10.09</v>
      </c>
      <c r="AE2189">
        <v>6.5</v>
      </c>
      <c r="AF2189">
        <v>4.0383333333333331</v>
      </c>
      <c r="AG2189" t="str">
        <f>HYPERLINK("https://finance.naver.com/item/fchart.naver?code=089590", "제주항공 차트보기")</f>
        <v>제주항공 차트보기</v>
      </c>
    </row>
    <row r="2190" spans="1:33" x14ac:dyDescent="0.3">
      <c r="A2190" t="s">
        <v>8787</v>
      </c>
      <c r="B2190" t="s">
        <v>55</v>
      </c>
      <c r="C2190" t="s">
        <v>8788</v>
      </c>
      <c r="D2190">
        <v>276875.57</v>
      </c>
      <c r="E2190" t="s">
        <v>8789</v>
      </c>
      <c r="F2190">
        <v>10.85</v>
      </c>
      <c r="G2190">
        <v>1.1000000238418579</v>
      </c>
      <c r="H2190">
        <v>1631</v>
      </c>
      <c r="I2190">
        <v>1.129999995231628</v>
      </c>
      <c r="J2190" t="s">
        <v>8790</v>
      </c>
      <c r="K2190">
        <v>35650</v>
      </c>
      <c r="L2190">
        <v>17700</v>
      </c>
      <c r="M2190">
        <v>-50.35</v>
      </c>
      <c r="N2190">
        <v>-18.62</v>
      </c>
      <c r="O2190">
        <v>2.35</v>
      </c>
      <c r="P2190">
        <v>-8.5500000000000007</v>
      </c>
      <c r="Q2190">
        <v>-11.33</v>
      </c>
      <c r="R2190">
        <v>-24.83</v>
      </c>
      <c r="S2190">
        <v>25.79</v>
      </c>
      <c r="T2190">
        <v>3.51</v>
      </c>
      <c r="U2190">
        <v>2.95</v>
      </c>
      <c r="V2190">
        <v>4.58</v>
      </c>
      <c r="W2190">
        <v>5.92</v>
      </c>
      <c r="X2190">
        <v>3.77</v>
      </c>
      <c r="Y2190">
        <v>3.32</v>
      </c>
      <c r="Z2190">
        <v>5.3</v>
      </c>
      <c r="AA2190">
        <v>0.8</v>
      </c>
      <c r="AB2190">
        <v>1.87</v>
      </c>
      <c r="AC2190">
        <v>1.91</v>
      </c>
      <c r="AD2190">
        <v>6.59</v>
      </c>
      <c r="AE2190">
        <v>7.77</v>
      </c>
      <c r="AF2190">
        <v>4.04</v>
      </c>
      <c r="AG2190" t="str">
        <f>HYPERLINK("https://finance.naver.com/item/fchart.naver?code=039440", "에스티아이 차트보기")</f>
        <v>에스티아이 차트보기</v>
      </c>
    </row>
    <row r="2191" spans="1:33" x14ac:dyDescent="0.3">
      <c r="A2191" t="s">
        <v>8791</v>
      </c>
      <c r="B2191" t="s">
        <v>55</v>
      </c>
      <c r="C2191" t="s">
        <v>8792</v>
      </c>
      <c r="D2191">
        <v>8217.52</v>
      </c>
      <c r="E2191" t="s">
        <v>8793</v>
      </c>
      <c r="F2191">
        <v>0</v>
      </c>
      <c r="G2191">
        <v>2.8900001049041748</v>
      </c>
      <c r="H2191">
        <v>0</v>
      </c>
      <c r="I2191">
        <v>0</v>
      </c>
      <c r="J2191" t="s">
        <v>8794</v>
      </c>
      <c r="K2191">
        <v>6850</v>
      </c>
      <c r="L2191">
        <v>4945</v>
      </c>
      <c r="M2191">
        <v>-27.81</v>
      </c>
      <c r="N2191">
        <v>-2.27</v>
      </c>
      <c r="O2191">
        <v>-5.22</v>
      </c>
      <c r="P2191">
        <v>-5.78</v>
      </c>
      <c r="Q2191">
        <v>-6.18</v>
      </c>
      <c r="R2191">
        <v>-2.68</v>
      </c>
      <c r="S2191">
        <v>-5.23</v>
      </c>
      <c r="T2191">
        <v>1.26</v>
      </c>
      <c r="U2191">
        <v>1.41</v>
      </c>
      <c r="V2191">
        <v>1.28</v>
      </c>
      <c r="W2191">
        <v>1.19</v>
      </c>
      <c r="X2191">
        <v>1.07</v>
      </c>
      <c r="Y2191">
        <v>0.8</v>
      </c>
      <c r="Z2191">
        <v>1.8</v>
      </c>
      <c r="AA2191">
        <v>3.7</v>
      </c>
      <c r="AB2191">
        <v>4.5199999999999996</v>
      </c>
      <c r="AC2191">
        <v>5.19</v>
      </c>
      <c r="AD2191">
        <v>2.5</v>
      </c>
      <c r="AE2191">
        <v>6.54</v>
      </c>
      <c r="AF2191">
        <v>4.041666666666667</v>
      </c>
      <c r="AG2191" t="str">
        <f>HYPERLINK("https://finance.naver.com/item/fchart.naver?code=153710", "옵티팜 차트보기")</f>
        <v>옵티팜 차트보기</v>
      </c>
    </row>
    <row r="2192" spans="1:33" x14ac:dyDescent="0.3">
      <c r="A2192" t="s">
        <v>8795</v>
      </c>
      <c r="B2192" t="s">
        <v>55</v>
      </c>
      <c r="C2192" t="s">
        <v>8796</v>
      </c>
      <c r="D2192">
        <v>99759.1</v>
      </c>
      <c r="E2192" t="s">
        <v>8797</v>
      </c>
      <c r="F2192">
        <v>41.13</v>
      </c>
      <c r="G2192">
        <v>1.179999947547913</v>
      </c>
      <c r="H2192">
        <v>111</v>
      </c>
      <c r="I2192">
        <v>0</v>
      </c>
      <c r="J2192" t="s">
        <v>8798</v>
      </c>
      <c r="K2192">
        <v>8040</v>
      </c>
      <c r="L2192">
        <v>4565</v>
      </c>
      <c r="M2192">
        <v>-43.22</v>
      </c>
      <c r="N2192">
        <v>5.18</v>
      </c>
      <c r="O2192">
        <v>-8.94</v>
      </c>
      <c r="P2192">
        <v>-4.25</v>
      </c>
      <c r="Q2192">
        <v>-10.31</v>
      </c>
      <c r="R2192">
        <v>-13.44</v>
      </c>
      <c r="S2192">
        <v>-11.2</v>
      </c>
      <c r="T2192">
        <v>3.29</v>
      </c>
      <c r="U2192">
        <v>1.95</v>
      </c>
      <c r="V2192">
        <v>2.89</v>
      </c>
      <c r="W2192">
        <v>4.88</v>
      </c>
      <c r="X2192">
        <v>1.99</v>
      </c>
      <c r="Y2192">
        <v>1.44</v>
      </c>
      <c r="Z2192">
        <v>1.57</v>
      </c>
      <c r="AA2192">
        <v>4.58</v>
      </c>
      <c r="AB2192">
        <v>1.47</v>
      </c>
      <c r="AC2192">
        <v>2.11</v>
      </c>
      <c r="AD2192">
        <v>6.75</v>
      </c>
      <c r="AE2192">
        <v>7.78</v>
      </c>
      <c r="AF2192">
        <v>4.0433333333333339</v>
      </c>
      <c r="AG2192" t="str">
        <f>HYPERLINK("https://finance.naver.com/item/fchart.naver?code=219420", "링크제니시스 차트보기")</f>
        <v>링크제니시스 차트보기</v>
      </c>
    </row>
    <row r="2193" spans="1:33" x14ac:dyDescent="0.3">
      <c r="A2193" t="s">
        <v>8799</v>
      </c>
      <c r="B2193" t="s">
        <v>34</v>
      </c>
      <c r="C2193" t="s">
        <v>8800</v>
      </c>
      <c r="D2193">
        <v>190942.19</v>
      </c>
      <c r="E2193" t="s">
        <v>8801</v>
      </c>
      <c r="F2193">
        <v>0</v>
      </c>
      <c r="G2193">
        <v>0.72000002861022949</v>
      </c>
      <c r="H2193">
        <v>0</v>
      </c>
      <c r="I2193">
        <v>0</v>
      </c>
      <c r="J2193" t="s">
        <v>8802</v>
      </c>
      <c r="K2193">
        <v>3250</v>
      </c>
      <c r="L2193">
        <v>2935</v>
      </c>
      <c r="M2193">
        <v>-9.69</v>
      </c>
      <c r="N2193">
        <v>33.11</v>
      </c>
      <c r="O2193">
        <v>-11.92</v>
      </c>
      <c r="P2193">
        <v>-9.39</v>
      </c>
      <c r="Q2193">
        <v>-12.91</v>
      </c>
      <c r="R2193">
        <v>-5.37</v>
      </c>
      <c r="S2193">
        <v>3.61</v>
      </c>
      <c r="T2193">
        <v>4.2699999999999996</v>
      </c>
      <c r="U2193">
        <v>2</v>
      </c>
      <c r="V2193">
        <v>2.16</v>
      </c>
      <c r="W2193">
        <v>3.86</v>
      </c>
      <c r="X2193">
        <v>2.92</v>
      </c>
      <c r="Y2193">
        <v>3.45</v>
      </c>
      <c r="Z2193">
        <v>7.75</v>
      </c>
      <c r="AA2193">
        <v>5.96</v>
      </c>
      <c r="AB2193">
        <v>4.3499999999999996</v>
      </c>
      <c r="AC2193">
        <v>3.34</v>
      </c>
      <c r="AD2193">
        <v>1.84</v>
      </c>
      <c r="AE2193">
        <v>1.05</v>
      </c>
      <c r="AF2193">
        <v>4.0483333333333338</v>
      </c>
      <c r="AG2193" t="str">
        <f>HYPERLINK("https://finance.naver.com/item/fchart.naver?code=097230", "HJ중공업 차트보기")</f>
        <v>HJ중공업 차트보기</v>
      </c>
    </row>
    <row r="2194" spans="1:33" x14ac:dyDescent="0.3">
      <c r="A2194" t="s">
        <v>8803</v>
      </c>
      <c r="B2194" t="s">
        <v>55</v>
      </c>
      <c r="C2194" t="s">
        <v>8804</v>
      </c>
      <c r="D2194">
        <v>5375.14</v>
      </c>
      <c r="E2194" t="s">
        <v>8805</v>
      </c>
      <c r="F2194">
        <v>11.48</v>
      </c>
      <c r="G2194">
        <v>0.68000000715255737</v>
      </c>
      <c r="H2194">
        <v>293</v>
      </c>
      <c r="I2194">
        <v>0</v>
      </c>
      <c r="J2194" t="s">
        <v>8806</v>
      </c>
      <c r="K2194">
        <v>4135</v>
      </c>
      <c r="L2194">
        <v>3365</v>
      </c>
      <c r="M2194">
        <v>-18.62</v>
      </c>
      <c r="N2194">
        <v>2.2799999999999998</v>
      </c>
      <c r="O2194">
        <v>-4.25</v>
      </c>
      <c r="P2194">
        <v>-8.56</v>
      </c>
      <c r="Q2194">
        <v>6.71</v>
      </c>
      <c r="R2194">
        <v>-0.43</v>
      </c>
      <c r="S2194">
        <v>-9.01</v>
      </c>
      <c r="T2194">
        <v>0.81</v>
      </c>
      <c r="U2194">
        <v>0.92</v>
      </c>
      <c r="V2194">
        <v>1.74</v>
      </c>
      <c r="W2194">
        <v>2.3199999999999998</v>
      </c>
      <c r="X2194">
        <v>1.34</v>
      </c>
      <c r="Y2194">
        <v>1.03</v>
      </c>
      <c r="Z2194">
        <v>2.81</v>
      </c>
      <c r="AA2194">
        <v>4.62</v>
      </c>
      <c r="AB2194">
        <v>4.92</v>
      </c>
      <c r="AC2194">
        <v>2.89</v>
      </c>
      <c r="AD2194">
        <v>0.32</v>
      </c>
      <c r="AE2194">
        <v>8.75</v>
      </c>
      <c r="AF2194">
        <v>4.0516666666666667</v>
      </c>
      <c r="AG2194" t="str">
        <f>HYPERLINK("https://finance.naver.com/item/fchart.naver?code=275630", "에스에스알 차트보기")</f>
        <v>에스에스알 차트보기</v>
      </c>
    </row>
    <row r="2195" spans="1:33" x14ac:dyDescent="0.3">
      <c r="A2195" t="s">
        <v>8807</v>
      </c>
      <c r="B2195" t="s">
        <v>55</v>
      </c>
      <c r="C2195" t="s">
        <v>8808</v>
      </c>
      <c r="D2195">
        <v>147746.04999999999</v>
      </c>
      <c r="E2195" t="s">
        <v>8809</v>
      </c>
      <c r="F2195">
        <v>12.38</v>
      </c>
      <c r="G2195">
        <v>0.47999998927116388</v>
      </c>
      <c r="H2195">
        <v>63</v>
      </c>
      <c r="I2195">
        <v>2.559999942779541</v>
      </c>
      <c r="J2195" t="s">
        <v>8810</v>
      </c>
      <c r="K2195">
        <v>889</v>
      </c>
      <c r="L2195">
        <v>780</v>
      </c>
      <c r="M2195">
        <v>-12.26</v>
      </c>
      <c r="N2195">
        <v>-4.53</v>
      </c>
      <c r="O2195">
        <v>9.08</v>
      </c>
      <c r="P2195">
        <v>0.26</v>
      </c>
      <c r="Q2195">
        <v>-2.5499999999999998</v>
      </c>
      <c r="R2195">
        <v>-2.62</v>
      </c>
      <c r="S2195">
        <v>-6.08</v>
      </c>
      <c r="T2195">
        <v>1.44</v>
      </c>
      <c r="U2195">
        <v>1.35</v>
      </c>
      <c r="V2195">
        <v>1.81</v>
      </c>
      <c r="W2195">
        <v>2.74</v>
      </c>
      <c r="X2195">
        <v>0.38</v>
      </c>
      <c r="Y2195">
        <v>0.94</v>
      </c>
      <c r="Z2195">
        <v>3.15</v>
      </c>
      <c r="AA2195">
        <v>6.73</v>
      </c>
      <c r="AB2195">
        <v>0.14000000000000001</v>
      </c>
      <c r="AC2195">
        <v>0.93</v>
      </c>
      <c r="AD2195">
        <v>6.89</v>
      </c>
      <c r="AE2195">
        <v>6.47</v>
      </c>
      <c r="AF2195">
        <v>4.0516666666666667</v>
      </c>
      <c r="AG2195" t="str">
        <f>HYPERLINK("https://finance.naver.com/item/fchart.naver?code=058400", "KNN 차트보기")</f>
        <v>KNN 차트보기</v>
      </c>
    </row>
    <row r="2196" spans="1:33" x14ac:dyDescent="0.3">
      <c r="A2196" t="s">
        <v>8811</v>
      </c>
      <c r="B2196" t="s">
        <v>34</v>
      </c>
      <c r="C2196" t="s">
        <v>8812</v>
      </c>
      <c r="D2196">
        <v>2164.62</v>
      </c>
      <c r="E2196" t="s">
        <v>8813</v>
      </c>
      <c r="F2196">
        <v>12.12</v>
      </c>
      <c r="G2196">
        <v>3.589999914169312</v>
      </c>
      <c r="H2196">
        <v>28753</v>
      </c>
      <c r="I2196">
        <v>7.1700000762939453</v>
      </c>
      <c r="J2196" t="s">
        <v>8814</v>
      </c>
      <c r="K2196">
        <v>292500</v>
      </c>
      <c r="L2196">
        <v>348500</v>
      </c>
      <c r="M2196">
        <v>19.149999999999999</v>
      </c>
      <c r="N2196">
        <v>4.6500000000000004</v>
      </c>
      <c r="O2196">
        <v>2.69</v>
      </c>
      <c r="P2196">
        <v>-4.53</v>
      </c>
      <c r="Q2196">
        <v>-4.3099999999999996</v>
      </c>
      <c r="R2196">
        <v>15.49</v>
      </c>
      <c r="S2196">
        <v>1.01</v>
      </c>
      <c r="T2196">
        <v>1.23</v>
      </c>
      <c r="U2196">
        <v>0.5</v>
      </c>
      <c r="V2196">
        <v>1.67</v>
      </c>
      <c r="W2196">
        <v>2.2000000000000002</v>
      </c>
      <c r="X2196">
        <v>1.77</v>
      </c>
      <c r="Y2196">
        <v>0.57999999999999996</v>
      </c>
      <c r="Z2196">
        <v>3.78</v>
      </c>
      <c r="AA2196">
        <v>5.38</v>
      </c>
      <c r="AB2196">
        <v>2.71</v>
      </c>
      <c r="AC2196">
        <v>1.96</v>
      </c>
      <c r="AD2196">
        <v>8.75</v>
      </c>
      <c r="AE2196">
        <v>1.74</v>
      </c>
      <c r="AF2196">
        <v>4.0533333333333337</v>
      </c>
      <c r="AG2196" t="str">
        <f>HYPERLINK("https://finance.naver.com/item/fchart.naver?code=002960", "한국쉘석유 차트보기")</f>
        <v>한국쉘석유 차트보기</v>
      </c>
    </row>
    <row r="2197" spans="1:33" x14ac:dyDescent="0.3">
      <c r="A2197" t="s">
        <v>8815</v>
      </c>
      <c r="B2197" t="s">
        <v>34</v>
      </c>
      <c r="C2197" t="s">
        <v>8816</v>
      </c>
      <c r="D2197">
        <v>252601.52</v>
      </c>
      <c r="E2197" t="s">
        <v>8817</v>
      </c>
      <c r="F2197">
        <v>6.76</v>
      </c>
      <c r="G2197">
        <v>0.56999999284744263</v>
      </c>
      <c r="H2197">
        <v>37639</v>
      </c>
      <c r="I2197">
        <v>1.7699999809265139</v>
      </c>
      <c r="J2197" t="s">
        <v>8818</v>
      </c>
      <c r="K2197">
        <v>227000</v>
      </c>
      <c r="L2197">
        <v>254500</v>
      </c>
      <c r="M2197">
        <v>12.11</v>
      </c>
      <c r="N2197">
        <v>2.41</v>
      </c>
      <c r="O2197">
        <v>16.32</v>
      </c>
      <c r="P2197">
        <v>1.64</v>
      </c>
      <c r="Q2197">
        <v>-0.91</v>
      </c>
      <c r="R2197">
        <v>-10.91</v>
      </c>
      <c r="S2197">
        <v>14.32</v>
      </c>
      <c r="T2197">
        <v>2.04</v>
      </c>
      <c r="U2197">
        <v>2.0499999999999998</v>
      </c>
      <c r="V2197">
        <v>1.87</v>
      </c>
      <c r="W2197">
        <v>1.98</v>
      </c>
      <c r="X2197">
        <v>1.45</v>
      </c>
      <c r="Y2197">
        <v>2.2599999999999998</v>
      </c>
      <c r="Z2197">
        <v>1.18</v>
      </c>
      <c r="AA2197">
        <v>7.96</v>
      </c>
      <c r="AB2197">
        <v>0.88</v>
      </c>
      <c r="AC2197">
        <v>0.46</v>
      </c>
      <c r="AD2197">
        <v>7.52</v>
      </c>
      <c r="AE2197">
        <v>6.34</v>
      </c>
      <c r="AF2197">
        <v>4.0566666666666666</v>
      </c>
      <c r="AG2197" t="str">
        <f>HYPERLINK("https://finance.naver.com/item/fchart.naver?code=012330", "현대모비스 차트보기")</f>
        <v>현대모비스 차트보기</v>
      </c>
    </row>
    <row r="2198" spans="1:33" x14ac:dyDescent="0.3">
      <c r="A2198" t="s">
        <v>8819</v>
      </c>
      <c r="B2198" t="s">
        <v>55</v>
      </c>
      <c r="C2198" t="s">
        <v>8820</v>
      </c>
      <c r="D2198">
        <v>69329.62</v>
      </c>
      <c r="E2198" t="s">
        <v>8821</v>
      </c>
      <c r="F2198">
        <v>0</v>
      </c>
      <c r="G2198">
        <v>1.059999942779541</v>
      </c>
      <c r="H2198">
        <v>0</v>
      </c>
      <c r="I2198">
        <v>0</v>
      </c>
      <c r="J2198" t="s">
        <v>8822</v>
      </c>
      <c r="K2198">
        <v>3435</v>
      </c>
      <c r="L2198">
        <v>2495</v>
      </c>
      <c r="M2198">
        <v>-27.37</v>
      </c>
      <c r="N2198">
        <v>-8.44</v>
      </c>
      <c r="O2198">
        <v>9.5500000000000007</v>
      </c>
      <c r="P2198">
        <v>-5.88</v>
      </c>
      <c r="Q2198">
        <v>-14.54</v>
      </c>
      <c r="R2198">
        <v>-12.91</v>
      </c>
      <c r="S2198">
        <v>-7.55</v>
      </c>
      <c r="T2198">
        <v>2.09</v>
      </c>
      <c r="U2198">
        <v>2.62</v>
      </c>
      <c r="V2198">
        <v>2.57</v>
      </c>
      <c r="W2198">
        <v>5.86</v>
      </c>
      <c r="X2198">
        <v>1.52</v>
      </c>
      <c r="Y2198">
        <v>2.21</v>
      </c>
      <c r="Z2198">
        <v>4.04</v>
      </c>
      <c r="AA2198">
        <v>3.65</v>
      </c>
      <c r="AB2198">
        <v>2.29</v>
      </c>
      <c r="AC2198">
        <v>2.48</v>
      </c>
      <c r="AD2198">
        <v>8.49</v>
      </c>
      <c r="AE2198">
        <v>3.42</v>
      </c>
      <c r="AF2198">
        <v>4.0616666666666674</v>
      </c>
      <c r="AG2198" t="str">
        <f>HYPERLINK("https://finance.naver.com/item/fchart.naver?code=285800", "진영 차트보기")</f>
        <v>진영 차트보기</v>
      </c>
    </row>
    <row r="2199" spans="1:33" x14ac:dyDescent="0.3">
      <c r="A2199" t="s">
        <v>8823</v>
      </c>
      <c r="B2199" t="s">
        <v>34</v>
      </c>
      <c r="C2199" t="s">
        <v>8824</v>
      </c>
      <c r="D2199">
        <v>111891.76</v>
      </c>
      <c r="E2199" t="s">
        <v>8825</v>
      </c>
      <c r="F2199">
        <v>15.32</v>
      </c>
      <c r="G2199">
        <v>1.629999995231628</v>
      </c>
      <c r="H2199">
        <v>709</v>
      </c>
      <c r="I2199">
        <v>3.25</v>
      </c>
      <c r="J2199" t="s">
        <v>8826</v>
      </c>
      <c r="K2199">
        <v>13370</v>
      </c>
      <c r="L2199">
        <v>10860</v>
      </c>
      <c r="M2199">
        <v>-18.77</v>
      </c>
      <c r="N2199">
        <v>-4.74</v>
      </c>
      <c r="O2199">
        <v>-7.8</v>
      </c>
      <c r="P2199">
        <v>9.9700000000000006</v>
      </c>
      <c r="Q2199">
        <v>-7.22</v>
      </c>
      <c r="R2199">
        <v>-4.97</v>
      </c>
      <c r="S2199">
        <v>-5.35</v>
      </c>
      <c r="T2199">
        <v>1.77</v>
      </c>
      <c r="U2199">
        <v>1.7</v>
      </c>
      <c r="V2199">
        <v>1.98</v>
      </c>
      <c r="W2199">
        <v>2.31</v>
      </c>
      <c r="X2199">
        <v>1.01</v>
      </c>
      <c r="Y2199">
        <v>1.33</v>
      </c>
      <c r="Z2199">
        <v>2.68</v>
      </c>
      <c r="AA2199">
        <v>4.59</v>
      </c>
      <c r="AB2199">
        <v>5.04</v>
      </c>
      <c r="AC2199">
        <v>3.13</v>
      </c>
      <c r="AD2199">
        <v>4.92</v>
      </c>
      <c r="AE2199">
        <v>4.0199999999999996</v>
      </c>
      <c r="AF2199">
        <v>4.0633333333333326</v>
      </c>
      <c r="AG2199" t="str">
        <f>HYPERLINK("https://finance.naver.com/item/fchart.naver?code=114090", "GKL 차트보기")</f>
        <v>GKL 차트보기</v>
      </c>
    </row>
    <row r="2200" spans="1:33" x14ac:dyDescent="0.3">
      <c r="A2200" t="s">
        <v>8827</v>
      </c>
      <c r="B2200" t="s">
        <v>55</v>
      </c>
      <c r="C2200" t="s">
        <v>8828</v>
      </c>
      <c r="D2200">
        <v>126457.62</v>
      </c>
      <c r="E2200" t="s">
        <v>8829</v>
      </c>
      <c r="F2200">
        <v>0</v>
      </c>
      <c r="G2200">
        <v>4.5900001525878906</v>
      </c>
      <c r="H2200">
        <v>0</v>
      </c>
      <c r="I2200">
        <v>0</v>
      </c>
      <c r="J2200" t="s">
        <v>8830</v>
      </c>
      <c r="K2200">
        <v>15750</v>
      </c>
      <c r="L2200">
        <v>8090</v>
      </c>
      <c r="M2200">
        <v>-48.63</v>
      </c>
      <c r="N2200">
        <v>12.05</v>
      </c>
      <c r="O2200">
        <v>-11.65</v>
      </c>
      <c r="P2200">
        <v>-8.17</v>
      </c>
      <c r="Q2200">
        <v>-8.14</v>
      </c>
      <c r="R2200">
        <v>-23.42</v>
      </c>
      <c r="S2200">
        <v>-7.14</v>
      </c>
      <c r="T2200">
        <v>4.6500000000000004</v>
      </c>
      <c r="U2200">
        <v>3.2</v>
      </c>
      <c r="V2200">
        <v>2.97</v>
      </c>
      <c r="W2200">
        <v>4.68</v>
      </c>
      <c r="X2200">
        <v>1.97</v>
      </c>
      <c r="Y2200">
        <v>4.0199999999999996</v>
      </c>
      <c r="Z2200">
        <v>2.59</v>
      </c>
      <c r="AA2200">
        <v>3.64</v>
      </c>
      <c r="AB2200">
        <v>2.75</v>
      </c>
      <c r="AC2200">
        <v>1.74</v>
      </c>
      <c r="AD2200">
        <v>11.89</v>
      </c>
      <c r="AE2200">
        <v>1.78</v>
      </c>
      <c r="AF2200">
        <v>4.0650000000000004</v>
      </c>
      <c r="AG2200" t="str">
        <f>HYPERLINK("https://finance.naver.com/item/fchart.naver?code=117730", "티로보틱스 차트보기")</f>
        <v>티로보틱스 차트보기</v>
      </c>
    </row>
    <row r="2201" spans="1:33" x14ac:dyDescent="0.3">
      <c r="A2201" t="s">
        <v>8831</v>
      </c>
      <c r="B2201" t="s">
        <v>55</v>
      </c>
      <c r="C2201" t="s">
        <v>8832</v>
      </c>
      <c r="D2201">
        <v>30465.24</v>
      </c>
      <c r="E2201" t="s">
        <v>8833</v>
      </c>
      <c r="F2201">
        <v>7.72</v>
      </c>
      <c r="G2201">
        <v>1.330000042915344</v>
      </c>
      <c r="H2201">
        <v>868</v>
      </c>
      <c r="I2201">
        <v>2.9900000095367432</v>
      </c>
      <c r="J2201" t="s">
        <v>8834</v>
      </c>
      <c r="K2201">
        <v>12160</v>
      </c>
      <c r="L2201">
        <v>6700</v>
      </c>
      <c r="M2201">
        <v>-44.9</v>
      </c>
      <c r="N2201">
        <v>-4.6900000000000004</v>
      </c>
      <c r="O2201">
        <v>-9.3000000000000007</v>
      </c>
      <c r="P2201">
        <v>-3.58</v>
      </c>
      <c r="Q2201">
        <v>-9.6</v>
      </c>
      <c r="R2201">
        <v>-14.82</v>
      </c>
      <c r="S2201">
        <v>-8</v>
      </c>
      <c r="T2201">
        <v>2.2000000000000002</v>
      </c>
      <c r="U2201">
        <v>2.2000000000000002</v>
      </c>
      <c r="V2201">
        <v>2.97</v>
      </c>
      <c r="W2201">
        <v>4.16</v>
      </c>
      <c r="X2201">
        <v>1.63</v>
      </c>
      <c r="Y2201">
        <v>1.47</v>
      </c>
      <c r="Z2201">
        <v>2.13</v>
      </c>
      <c r="AA2201">
        <v>4.2300000000000004</v>
      </c>
      <c r="AB2201">
        <v>1.21</v>
      </c>
      <c r="AC2201">
        <v>2.31</v>
      </c>
      <c r="AD2201">
        <v>9.09</v>
      </c>
      <c r="AE2201">
        <v>5.44</v>
      </c>
      <c r="AF2201">
        <v>4.0683333333333334</v>
      </c>
      <c r="AG2201" t="str">
        <f>HYPERLINK("https://finance.naver.com/item/fchart.naver?code=262260", "에이프로 차트보기")</f>
        <v>에이프로 차트보기</v>
      </c>
    </row>
    <row r="2202" spans="1:33" x14ac:dyDescent="0.3">
      <c r="A2202" t="s">
        <v>8835</v>
      </c>
      <c r="B2202" t="s">
        <v>34</v>
      </c>
      <c r="C2202" t="s">
        <v>8836</v>
      </c>
      <c r="D2202">
        <v>25877.71</v>
      </c>
      <c r="E2202" t="s">
        <v>8837</v>
      </c>
      <c r="F2202">
        <v>13.84</v>
      </c>
      <c r="G2202">
        <v>0.37999999523162842</v>
      </c>
      <c r="H2202">
        <v>181</v>
      </c>
      <c r="I2202">
        <v>2.9900000095367432</v>
      </c>
      <c r="J2202" t="s">
        <v>8838</v>
      </c>
      <c r="K2202">
        <v>3210</v>
      </c>
      <c r="L2202">
        <v>2505</v>
      </c>
      <c r="M2202">
        <v>-21.96</v>
      </c>
      <c r="N2202">
        <v>1.21</v>
      </c>
      <c r="O2202">
        <v>-6.57</v>
      </c>
      <c r="P2202">
        <v>4.93</v>
      </c>
      <c r="Q2202">
        <v>-10.92</v>
      </c>
      <c r="R2202">
        <v>-5.23</v>
      </c>
      <c r="S2202">
        <v>-5.87</v>
      </c>
      <c r="T2202">
        <v>1.58</v>
      </c>
      <c r="U2202">
        <v>1.02</v>
      </c>
      <c r="V2202">
        <v>1.32</v>
      </c>
      <c r="W2202">
        <v>3</v>
      </c>
      <c r="X2202">
        <v>0.96</v>
      </c>
      <c r="Y2202">
        <v>1.34</v>
      </c>
      <c r="Z2202">
        <v>0.77</v>
      </c>
      <c r="AA2202">
        <v>6.44</v>
      </c>
      <c r="AB2202">
        <v>3.73</v>
      </c>
      <c r="AC2202">
        <v>3.64</v>
      </c>
      <c r="AD2202">
        <v>5.45</v>
      </c>
      <c r="AE2202">
        <v>4.38</v>
      </c>
      <c r="AF2202">
        <v>4.0683333333333334</v>
      </c>
      <c r="AG2202" t="str">
        <f>HYPERLINK("https://finance.naver.com/item/fchart.naver?code=026940", "부국철강 차트보기")</f>
        <v>부국철강 차트보기</v>
      </c>
    </row>
    <row r="2203" spans="1:33" x14ac:dyDescent="0.3">
      <c r="A2203" t="s">
        <v>8839</v>
      </c>
      <c r="B2203" t="s">
        <v>55</v>
      </c>
      <c r="C2203" t="s">
        <v>8840</v>
      </c>
      <c r="D2203">
        <v>81857.289999999994</v>
      </c>
      <c r="E2203" t="s">
        <v>8841</v>
      </c>
      <c r="F2203">
        <v>6.42</v>
      </c>
      <c r="G2203">
        <v>0.79000002145767212</v>
      </c>
      <c r="H2203">
        <v>1369</v>
      </c>
      <c r="I2203">
        <v>4.5500001907348633</v>
      </c>
      <c r="J2203" t="s">
        <v>8842</v>
      </c>
      <c r="K2203">
        <v>15990</v>
      </c>
      <c r="L2203">
        <v>8790</v>
      </c>
      <c r="M2203">
        <v>-45.03</v>
      </c>
      <c r="N2203">
        <v>-3.83</v>
      </c>
      <c r="O2203">
        <v>-7.21</v>
      </c>
      <c r="P2203">
        <v>-7.2</v>
      </c>
      <c r="Q2203">
        <v>-8.4700000000000006</v>
      </c>
      <c r="R2203">
        <v>-14.08</v>
      </c>
      <c r="S2203">
        <v>-6.57</v>
      </c>
      <c r="T2203">
        <v>1.77</v>
      </c>
      <c r="U2203">
        <v>1.7</v>
      </c>
      <c r="V2203">
        <v>2.44</v>
      </c>
      <c r="W2203">
        <v>4.2</v>
      </c>
      <c r="X2203">
        <v>1.92</v>
      </c>
      <c r="Y2203">
        <v>1.1499999999999999</v>
      </c>
      <c r="Z2203">
        <v>2.16</v>
      </c>
      <c r="AA2203">
        <v>4.24</v>
      </c>
      <c r="AB2203">
        <v>2.95</v>
      </c>
      <c r="AC2203">
        <v>2.02</v>
      </c>
      <c r="AD2203">
        <v>7.33</v>
      </c>
      <c r="AE2203">
        <v>5.71</v>
      </c>
      <c r="AF2203">
        <v>4.0683333333333342</v>
      </c>
      <c r="AG2203" t="str">
        <f>HYPERLINK("https://finance.naver.com/item/fchart.naver?code=060720", "KH바텍 차트보기")</f>
        <v>KH바텍 차트보기</v>
      </c>
    </row>
    <row r="2204" spans="1:33" x14ac:dyDescent="0.3">
      <c r="A2204" t="s">
        <v>8843</v>
      </c>
      <c r="B2204" t="s">
        <v>55</v>
      </c>
      <c r="C2204" t="s">
        <v>8844</v>
      </c>
      <c r="D2204">
        <v>75093.570000000007</v>
      </c>
      <c r="E2204" t="s">
        <v>8845</v>
      </c>
      <c r="F2204">
        <v>15.06</v>
      </c>
      <c r="G2204">
        <v>0.34999999403953552</v>
      </c>
      <c r="H2204">
        <v>80</v>
      </c>
      <c r="I2204">
        <v>0</v>
      </c>
      <c r="J2204" t="s">
        <v>8846</v>
      </c>
      <c r="K2204">
        <v>2595</v>
      </c>
      <c r="L2204">
        <v>1205</v>
      </c>
      <c r="M2204">
        <v>-53.56</v>
      </c>
      <c r="N2204">
        <v>-2.98</v>
      </c>
      <c r="O2204">
        <v>-15.93</v>
      </c>
      <c r="P2204">
        <v>-7.89</v>
      </c>
      <c r="Q2204">
        <v>-14.05</v>
      </c>
      <c r="R2204">
        <v>-32.22</v>
      </c>
      <c r="S2204">
        <v>18.95</v>
      </c>
      <c r="T2204">
        <v>3.2</v>
      </c>
      <c r="U2204">
        <v>2.27</v>
      </c>
      <c r="V2204">
        <v>3.43</v>
      </c>
      <c r="W2204">
        <v>3.55</v>
      </c>
      <c r="X2204">
        <v>4.1399999999999997</v>
      </c>
      <c r="Y2204">
        <v>7.77</v>
      </c>
      <c r="Z2204">
        <v>0.93</v>
      </c>
      <c r="AA2204">
        <v>7.02</v>
      </c>
      <c r="AB2204">
        <v>2.2999999999999998</v>
      </c>
      <c r="AC2204">
        <v>3.96</v>
      </c>
      <c r="AD2204">
        <v>7.78</v>
      </c>
      <c r="AE2204">
        <v>2.44</v>
      </c>
      <c r="AF2204">
        <v>4.0716666666666672</v>
      </c>
      <c r="AG2204" t="str">
        <f>HYPERLINK("https://finance.naver.com/item/fchart.naver?code=128540", "에코캡 차트보기")</f>
        <v>에코캡 차트보기</v>
      </c>
    </row>
    <row r="2205" spans="1:33" x14ac:dyDescent="0.3">
      <c r="A2205" t="s">
        <v>8847</v>
      </c>
      <c r="B2205" t="s">
        <v>55</v>
      </c>
      <c r="C2205" t="s">
        <v>8848</v>
      </c>
      <c r="D2205">
        <v>22334.86</v>
      </c>
      <c r="E2205" t="s">
        <v>8849</v>
      </c>
      <c r="F2205">
        <v>1.48</v>
      </c>
      <c r="G2205">
        <v>0.73000001907348633</v>
      </c>
      <c r="H2205">
        <v>2677</v>
      </c>
      <c r="I2205">
        <v>0</v>
      </c>
      <c r="J2205" t="s">
        <v>8850</v>
      </c>
      <c r="K2205">
        <v>6750</v>
      </c>
      <c r="L2205">
        <v>3975</v>
      </c>
      <c r="M2205">
        <v>-41.11</v>
      </c>
      <c r="N2205">
        <v>-5.13</v>
      </c>
      <c r="O2205">
        <v>-7.31</v>
      </c>
      <c r="P2205">
        <v>4.7</v>
      </c>
      <c r="Q2205">
        <v>-8.77</v>
      </c>
      <c r="R2205">
        <v>-17.3</v>
      </c>
      <c r="S2205">
        <v>-12.5</v>
      </c>
      <c r="T2205">
        <v>2.48</v>
      </c>
      <c r="U2205">
        <v>2.29</v>
      </c>
      <c r="V2205">
        <v>2.82</v>
      </c>
      <c r="W2205">
        <v>6.07</v>
      </c>
      <c r="X2205">
        <v>2.12</v>
      </c>
      <c r="Y2205">
        <v>1.58</v>
      </c>
      <c r="Z2205">
        <v>2.0699999999999998</v>
      </c>
      <c r="AA2205">
        <v>3.19</v>
      </c>
      <c r="AB2205">
        <v>1.67</v>
      </c>
      <c r="AC2205">
        <v>1.44</v>
      </c>
      <c r="AD2205">
        <v>8.16</v>
      </c>
      <c r="AE2205">
        <v>7.91</v>
      </c>
      <c r="AF2205">
        <v>4.0733333333333333</v>
      </c>
      <c r="AG2205" t="str">
        <f>HYPERLINK("https://finance.naver.com/item/fchart.naver?code=301300", "바이브컴퍼니 차트보기")</f>
        <v>바이브컴퍼니 차트보기</v>
      </c>
    </row>
    <row r="2206" spans="1:33" x14ac:dyDescent="0.3">
      <c r="A2206" t="s">
        <v>8851</v>
      </c>
      <c r="B2206" t="s">
        <v>55</v>
      </c>
      <c r="C2206" t="s">
        <v>8852</v>
      </c>
      <c r="D2206">
        <v>13218043</v>
      </c>
      <c r="E2206" t="s">
        <v>8853</v>
      </c>
      <c r="F2206">
        <v>13.96</v>
      </c>
      <c r="G2206">
        <v>4.1100001335144043</v>
      </c>
      <c r="H2206">
        <v>444</v>
      </c>
      <c r="I2206">
        <v>0.81000000238418579</v>
      </c>
      <c r="J2206" t="s">
        <v>8854</v>
      </c>
      <c r="K2206">
        <v>2525</v>
      </c>
      <c r="L2206">
        <v>6200</v>
      </c>
      <c r="M2206">
        <v>145.54</v>
      </c>
      <c r="N2206">
        <v>24.62</v>
      </c>
      <c r="O2206">
        <v>31.88</v>
      </c>
      <c r="P2206">
        <v>-8.0399999999999991</v>
      </c>
      <c r="Q2206">
        <v>7.68</v>
      </c>
      <c r="R2206">
        <v>86.03</v>
      </c>
      <c r="S2206">
        <v>-12.6</v>
      </c>
      <c r="T2206">
        <v>12</v>
      </c>
      <c r="U2206">
        <v>6.94</v>
      </c>
      <c r="V2206">
        <v>6.34</v>
      </c>
      <c r="W2206">
        <v>8.4600000000000009</v>
      </c>
      <c r="X2206">
        <v>9.65</v>
      </c>
      <c r="Y2206">
        <v>1.88</v>
      </c>
      <c r="Z2206">
        <v>2.0499999999999998</v>
      </c>
      <c r="AA2206">
        <v>4.59</v>
      </c>
      <c r="AB2206">
        <v>1.27</v>
      </c>
      <c r="AC2206">
        <v>0.91</v>
      </c>
      <c r="AD2206">
        <v>8.92</v>
      </c>
      <c r="AE2206">
        <v>6.7</v>
      </c>
      <c r="AF2206">
        <v>4.0733333333333333</v>
      </c>
      <c r="AG2206" t="str">
        <f>HYPERLINK("https://finance.naver.com/item/fchart.naver?code=365330", "에스와이스틸텍 차트보기")</f>
        <v>에스와이스틸텍 차트보기</v>
      </c>
    </row>
    <row r="2207" spans="1:33" x14ac:dyDescent="0.3">
      <c r="A2207" t="s">
        <v>8855</v>
      </c>
      <c r="B2207" t="s">
        <v>34</v>
      </c>
      <c r="C2207" t="s">
        <v>8856</v>
      </c>
      <c r="D2207">
        <v>53118.52</v>
      </c>
      <c r="E2207" t="s">
        <v>8857</v>
      </c>
      <c r="F2207">
        <v>0</v>
      </c>
      <c r="G2207">
        <v>0</v>
      </c>
      <c r="H2207">
        <v>0</v>
      </c>
      <c r="I2207">
        <v>3.4600000381469731</v>
      </c>
      <c r="J2207" t="s">
        <v>8858</v>
      </c>
      <c r="K2207">
        <v>1518</v>
      </c>
      <c r="L2207">
        <v>1300</v>
      </c>
      <c r="M2207">
        <v>-14.36</v>
      </c>
      <c r="N2207">
        <v>0.78</v>
      </c>
      <c r="O2207">
        <v>-5.97</v>
      </c>
      <c r="P2207">
        <v>2.23</v>
      </c>
      <c r="Q2207">
        <v>-1.62</v>
      </c>
      <c r="R2207">
        <v>-2.8</v>
      </c>
      <c r="S2207">
        <v>-5.89</v>
      </c>
      <c r="T2207">
        <v>1.06</v>
      </c>
      <c r="U2207">
        <v>1.47</v>
      </c>
      <c r="V2207">
        <v>0.75</v>
      </c>
      <c r="W2207">
        <v>1.32</v>
      </c>
      <c r="X2207">
        <v>0.42</v>
      </c>
      <c r="Y2207">
        <v>0.67</v>
      </c>
      <c r="Z2207">
        <v>0.74</v>
      </c>
      <c r="AA2207">
        <v>4.0599999999999996</v>
      </c>
      <c r="AB2207">
        <v>2.97</v>
      </c>
      <c r="AC2207">
        <v>1.23</v>
      </c>
      <c r="AD2207">
        <v>6.67</v>
      </c>
      <c r="AE2207">
        <v>8.7899999999999991</v>
      </c>
      <c r="AF2207">
        <v>4.0766666666666671</v>
      </c>
      <c r="AG2207" t="str">
        <f>HYPERLINK("https://finance.naver.com/item/fchart.naver?code=019685", "대교우B 차트보기")</f>
        <v>대교우B 차트보기</v>
      </c>
    </row>
    <row r="2208" spans="1:33" x14ac:dyDescent="0.3">
      <c r="A2208" t="s">
        <v>8859</v>
      </c>
      <c r="B2208" t="s">
        <v>34</v>
      </c>
      <c r="C2208" t="s">
        <v>8860</v>
      </c>
      <c r="D2208">
        <v>323744.90000000002</v>
      </c>
      <c r="E2208" t="s">
        <v>8861</v>
      </c>
      <c r="F2208">
        <v>86.67</v>
      </c>
      <c r="G2208">
        <v>0.72000002861022949</v>
      </c>
      <c r="H2208">
        <v>48</v>
      </c>
      <c r="I2208">
        <v>0</v>
      </c>
      <c r="J2208" t="s">
        <v>8862</v>
      </c>
      <c r="K2208">
        <v>5900</v>
      </c>
      <c r="L2208">
        <v>4160</v>
      </c>
      <c r="M2208">
        <v>-29.49</v>
      </c>
      <c r="N2208">
        <v>-6.2</v>
      </c>
      <c r="O2208">
        <v>-13.2</v>
      </c>
      <c r="P2208">
        <v>-11.37</v>
      </c>
      <c r="Q2208">
        <v>0.33</v>
      </c>
      <c r="R2208">
        <v>15.38</v>
      </c>
      <c r="S2208">
        <v>-5.17</v>
      </c>
      <c r="T2208">
        <v>2.4700000000000002</v>
      </c>
      <c r="U2208">
        <v>1.94</v>
      </c>
      <c r="V2208">
        <v>2</v>
      </c>
      <c r="W2208">
        <v>2.58</v>
      </c>
      <c r="X2208">
        <v>2.5099999999999998</v>
      </c>
      <c r="Y2208">
        <v>1.61</v>
      </c>
      <c r="Z2208">
        <v>2.5099999999999998</v>
      </c>
      <c r="AA2208">
        <v>6.8</v>
      </c>
      <c r="AB2208">
        <v>5.68</v>
      </c>
      <c r="AC2208">
        <v>0.13</v>
      </c>
      <c r="AD2208">
        <v>6.13</v>
      </c>
      <c r="AE2208">
        <v>3.21</v>
      </c>
      <c r="AF2208">
        <v>4.0766666666666671</v>
      </c>
      <c r="AG2208" t="str">
        <f>HYPERLINK("https://finance.naver.com/item/fchart.naver?code=003620", "KG모빌리티 차트보기")</f>
        <v>KG모빌리티 차트보기</v>
      </c>
    </row>
    <row r="2209" spans="1:33" x14ac:dyDescent="0.3">
      <c r="A2209" t="s">
        <v>8863</v>
      </c>
      <c r="B2209" t="s">
        <v>34</v>
      </c>
      <c r="C2209" t="s">
        <v>8864</v>
      </c>
      <c r="D2209">
        <v>30686.67</v>
      </c>
      <c r="E2209" t="s">
        <v>8865</v>
      </c>
      <c r="F2209">
        <v>4.4000000000000004</v>
      </c>
      <c r="G2209">
        <v>0.34000000357627869</v>
      </c>
      <c r="H2209">
        <v>1359</v>
      </c>
      <c r="I2209">
        <v>2.5099999904632568</v>
      </c>
      <c r="J2209" t="s">
        <v>8866</v>
      </c>
      <c r="K2209">
        <v>6230</v>
      </c>
      <c r="L2209">
        <v>5980</v>
      </c>
      <c r="M2209">
        <v>-4.01</v>
      </c>
      <c r="N2209">
        <v>1.36</v>
      </c>
      <c r="O2209">
        <v>5</v>
      </c>
      <c r="P2209">
        <v>-0.36</v>
      </c>
      <c r="Q2209">
        <v>2.17</v>
      </c>
      <c r="R2209">
        <v>-7.91</v>
      </c>
      <c r="S2209">
        <v>-3.73</v>
      </c>
      <c r="T2209">
        <v>0.64</v>
      </c>
      <c r="U2209">
        <v>0.86</v>
      </c>
      <c r="V2209">
        <v>0.92</v>
      </c>
      <c r="W2209">
        <v>2.89</v>
      </c>
      <c r="X2209">
        <v>0.68</v>
      </c>
      <c r="Y2209">
        <v>0.99</v>
      </c>
      <c r="Z2209">
        <v>2.12</v>
      </c>
      <c r="AA2209">
        <v>5.81</v>
      </c>
      <c r="AB2209">
        <v>0.39</v>
      </c>
      <c r="AC2209">
        <v>0.75</v>
      </c>
      <c r="AD2209">
        <v>11.63</v>
      </c>
      <c r="AE2209">
        <v>3.77</v>
      </c>
      <c r="AF2209">
        <v>4.078333333333334</v>
      </c>
      <c r="AG2209" t="str">
        <f>HYPERLINK("https://finance.naver.com/item/fchart.naver?code=016590", "신대양제지 차트보기")</f>
        <v>신대양제지 차트보기</v>
      </c>
    </row>
    <row r="2210" spans="1:33" x14ac:dyDescent="0.3">
      <c r="A2210" t="s">
        <v>8867</v>
      </c>
      <c r="B2210" t="s">
        <v>55</v>
      </c>
      <c r="C2210" t="s">
        <v>8868</v>
      </c>
      <c r="D2210">
        <v>228950</v>
      </c>
      <c r="E2210" t="s">
        <v>8869</v>
      </c>
      <c r="F2210">
        <v>0</v>
      </c>
      <c r="G2210">
        <v>3.8299999237060551</v>
      </c>
      <c r="H2210">
        <v>0</v>
      </c>
      <c r="I2210">
        <v>0</v>
      </c>
      <c r="J2210" t="s">
        <v>8870</v>
      </c>
      <c r="K2210">
        <v>38100</v>
      </c>
      <c r="L2210">
        <v>37400</v>
      </c>
      <c r="M2210">
        <v>-1.84</v>
      </c>
      <c r="N2210">
        <v>-7.2</v>
      </c>
      <c r="O2210">
        <v>-15.91</v>
      </c>
      <c r="P2210">
        <v>-1.85</v>
      </c>
      <c r="Q2210">
        <v>10.75</v>
      </c>
      <c r="R2210">
        <v>-25.87</v>
      </c>
      <c r="S2210">
        <v>52.82</v>
      </c>
      <c r="T2210">
        <v>4.1399999999999997</v>
      </c>
      <c r="U2210">
        <v>3.14</v>
      </c>
      <c r="V2210">
        <v>3.33</v>
      </c>
      <c r="W2210">
        <v>4.7699999999999996</v>
      </c>
      <c r="X2210">
        <v>3.16</v>
      </c>
      <c r="Y2210">
        <v>7.93</v>
      </c>
      <c r="Z2210">
        <v>1.74</v>
      </c>
      <c r="AA2210">
        <v>5.07</v>
      </c>
      <c r="AB2210">
        <v>0.56000000000000005</v>
      </c>
      <c r="AC2210">
        <v>2.25</v>
      </c>
      <c r="AD2210">
        <v>8.19</v>
      </c>
      <c r="AE2210">
        <v>6.66</v>
      </c>
      <c r="AF2210">
        <v>4.078333333333334</v>
      </c>
      <c r="AG2210" t="str">
        <f>HYPERLINK("https://finance.naver.com/item/fchart.naver?code=317330", "덕산테코피아 차트보기")</f>
        <v>덕산테코피아 차트보기</v>
      </c>
    </row>
    <row r="2211" spans="1:33" x14ac:dyDescent="0.3">
      <c r="A2211" t="s">
        <v>8871</v>
      </c>
      <c r="B2211" t="s">
        <v>55</v>
      </c>
      <c r="C2211" t="s">
        <v>8872</v>
      </c>
      <c r="D2211">
        <v>99849.71</v>
      </c>
      <c r="E2211" t="s">
        <v>8873</v>
      </c>
      <c r="F2211">
        <v>15.3</v>
      </c>
      <c r="G2211">
        <v>3.2000000476837158</v>
      </c>
      <c r="H2211">
        <v>719</v>
      </c>
      <c r="I2211">
        <v>0</v>
      </c>
      <c r="J2211" t="s">
        <v>8874</v>
      </c>
      <c r="K2211">
        <v>22100</v>
      </c>
      <c r="L2211">
        <v>11000</v>
      </c>
      <c r="M2211">
        <v>-50.23</v>
      </c>
      <c r="N2211">
        <v>-4.18</v>
      </c>
      <c r="O2211">
        <v>-17.05</v>
      </c>
      <c r="P2211">
        <v>20.170000000000002</v>
      </c>
      <c r="Q2211">
        <v>-10.11</v>
      </c>
      <c r="R2211">
        <v>-19.62</v>
      </c>
      <c r="S2211">
        <v>-9.2799999999999994</v>
      </c>
      <c r="T2211">
        <v>2.95</v>
      </c>
      <c r="U2211">
        <v>3.24</v>
      </c>
      <c r="V2211">
        <v>6.87</v>
      </c>
      <c r="W2211">
        <v>5.2</v>
      </c>
      <c r="X2211">
        <v>2.27</v>
      </c>
      <c r="Y2211">
        <v>2.17</v>
      </c>
      <c r="Z2211">
        <v>1.42</v>
      </c>
      <c r="AA2211">
        <v>5.26</v>
      </c>
      <c r="AB2211">
        <v>2.94</v>
      </c>
      <c r="AC2211">
        <v>1.94</v>
      </c>
      <c r="AD2211">
        <v>8.64</v>
      </c>
      <c r="AE2211">
        <v>4.28</v>
      </c>
      <c r="AF2211">
        <v>4.08</v>
      </c>
      <c r="AG2211" t="str">
        <f>HYPERLINK("https://finance.naver.com/item/fchart.naver?code=126730", "코칩 차트보기")</f>
        <v>코칩 차트보기</v>
      </c>
    </row>
    <row r="2212" spans="1:33" x14ac:dyDescent="0.3">
      <c r="A2212" t="s">
        <v>8875</v>
      </c>
      <c r="B2212" t="s">
        <v>55</v>
      </c>
      <c r="C2212" t="s">
        <v>8876</v>
      </c>
      <c r="D2212">
        <v>609532</v>
      </c>
      <c r="E2212" t="s">
        <v>8877</v>
      </c>
      <c r="F2212">
        <v>0</v>
      </c>
      <c r="G2212">
        <v>0.6600000262260437</v>
      </c>
      <c r="H2212">
        <v>0</v>
      </c>
      <c r="I2212">
        <v>0</v>
      </c>
      <c r="J2212" t="s">
        <v>8878</v>
      </c>
      <c r="K2212">
        <v>7250</v>
      </c>
      <c r="L2212">
        <v>3810</v>
      </c>
      <c r="M2212">
        <v>-47.45</v>
      </c>
      <c r="N2212">
        <v>-10.98</v>
      </c>
      <c r="O2212">
        <v>7.84</v>
      </c>
      <c r="P2212">
        <v>-6.77</v>
      </c>
      <c r="Q2212">
        <v>-14.34</v>
      </c>
      <c r="R2212">
        <v>-11</v>
      </c>
      <c r="S2212">
        <v>-8.58</v>
      </c>
      <c r="T2212">
        <v>2.21</v>
      </c>
      <c r="U2212">
        <v>5.48</v>
      </c>
      <c r="V2212">
        <v>2.58</v>
      </c>
      <c r="W2212">
        <v>5.19</v>
      </c>
      <c r="X2212">
        <v>1.66</v>
      </c>
      <c r="Y2212">
        <v>1.4</v>
      </c>
      <c r="Z2212">
        <v>4.97</v>
      </c>
      <c r="AA2212">
        <v>1.43</v>
      </c>
      <c r="AB2212">
        <v>2.62</v>
      </c>
      <c r="AC2212">
        <v>2.76</v>
      </c>
      <c r="AD2212">
        <v>6.63</v>
      </c>
      <c r="AE2212">
        <v>6.13</v>
      </c>
      <c r="AF2212">
        <v>4.09</v>
      </c>
      <c r="AG2212" t="str">
        <f>HYPERLINK("https://finance.naver.com/item/fchart.naver?code=061970", "LB세미콘 차트보기")</f>
        <v>LB세미콘 차트보기</v>
      </c>
    </row>
    <row r="2213" spans="1:33" x14ac:dyDescent="0.3">
      <c r="A2213" t="s">
        <v>8879</v>
      </c>
      <c r="B2213" t="s">
        <v>55</v>
      </c>
      <c r="C2213" t="s">
        <v>8880</v>
      </c>
      <c r="D2213">
        <v>8295.86</v>
      </c>
      <c r="E2213" t="s">
        <v>8881</v>
      </c>
      <c r="F2213">
        <v>0</v>
      </c>
      <c r="G2213">
        <v>1.330000042915344</v>
      </c>
      <c r="H2213">
        <v>0</v>
      </c>
      <c r="I2213">
        <v>0</v>
      </c>
      <c r="J2213" t="s">
        <v>8882</v>
      </c>
      <c r="K2213">
        <v>1024</v>
      </c>
      <c r="L2213">
        <v>1228</v>
      </c>
      <c r="M2213">
        <v>19.920000000000002</v>
      </c>
      <c r="N2213">
        <v>-0.56999999999999995</v>
      </c>
      <c r="O2213">
        <v>-3.86</v>
      </c>
      <c r="P2213">
        <v>8.8000000000000007</v>
      </c>
      <c r="Q2213">
        <v>-3.08</v>
      </c>
      <c r="R2213">
        <v>18.43</v>
      </c>
      <c r="S2213">
        <v>9.34</v>
      </c>
      <c r="T2213">
        <v>0.84</v>
      </c>
      <c r="U2213">
        <v>1.18</v>
      </c>
      <c r="V2213">
        <v>1.4</v>
      </c>
      <c r="W2213">
        <v>2.54</v>
      </c>
      <c r="X2213">
        <v>1.85</v>
      </c>
      <c r="Y2213">
        <v>2.98</v>
      </c>
      <c r="Z2213">
        <v>0.68</v>
      </c>
      <c r="AA2213">
        <v>3.27</v>
      </c>
      <c r="AB2213">
        <v>6.29</v>
      </c>
      <c r="AC2213">
        <v>1.21</v>
      </c>
      <c r="AD2213">
        <v>9.9600000000000009</v>
      </c>
      <c r="AE2213">
        <v>3.13</v>
      </c>
      <c r="AF2213">
        <v>4.09</v>
      </c>
      <c r="AG2213" t="str">
        <f>HYPERLINK("https://finance.naver.com/item/fchart.naver?code=023790", "동일철강 차트보기")</f>
        <v>동일철강 차트보기</v>
      </c>
    </row>
    <row r="2214" spans="1:33" x14ac:dyDescent="0.3">
      <c r="A2214" t="s">
        <v>8883</v>
      </c>
      <c r="B2214" t="s">
        <v>55</v>
      </c>
      <c r="C2214" t="s">
        <v>8884</v>
      </c>
      <c r="D2214">
        <v>199990</v>
      </c>
      <c r="E2214" t="s">
        <v>8885</v>
      </c>
      <c r="F2214">
        <v>0</v>
      </c>
      <c r="G2214">
        <v>0.63999998569488525</v>
      </c>
      <c r="H2214">
        <v>0</v>
      </c>
      <c r="I2214">
        <v>0.81000000238418579</v>
      </c>
      <c r="J2214" t="s">
        <v>8886</v>
      </c>
      <c r="K2214">
        <v>8440</v>
      </c>
      <c r="L2214">
        <v>6180</v>
      </c>
      <c r="M2214">
        <v>-26.78</v>
      </c>
      <c r="N2214">
        <v>-2.83</v>
      </c>
      <c r="O2214">
        <v>16.010000000000002</v>
      </c>
      <c r="P2214">
        <v>4.2</v>
      </c>
      <c r="Q2214">
        <v>-15.18</v>
      </c>
      <c r="R2214">
        <v>-15.21</v>
      </c>
      <c r="S2214">
        <v>-12.07</v>
      </c>
      <c r="T2214">
        <v>2.36</v>
      </c>
      <c r="U2214">
        <v>3.2</v>
      </c>
      <c r="V2214">
        <v>2.78</v>
      </c>
      <c r="W2214">
        <v>4.6399999999999997</v>
      </c>
      <c r="X2214">
        <v>2.31</v>
      </c>
      <c r="Y2214">
        <v>1.73</v>
      </c>
      <c r="Z2214">
        <v>1.2</v>
      </c>
      <c r="AA2214">
        <v>5</v>
      </c>
      <c r="AB2214">
        <v>1.51</v>
      </c>
      <c r="AC2214">
        <v>3.27</v>
      </c>
      <c r="AD2214">
        <v>6.58</v>
      </c>
      <c r="AE2214">
        <v>6.98</v>
      </c>
      <c r="AF2214">
        <v>4.0900000000000007</v>
      </c>
      <c r="AG2214" t="str">
        <f>HYPERLINK("https://finance.naver.com/item/fchart.naver?code=090470", "제이스텍 차트보기")</f>
        <v>제이스텍 차트보기</v>
      </c>
    </row>
    <row r="2215" spans="1:33" x14ac:dyDescent="0.3">
      <c r="A2215" t="s">
        <v>8887</v>
      </c>
      <c r="B2215" t="s">
        <v>55</v>
      </c>
      <c r="C2215" t="s">
        <v>8888</v>
      </c>
      <c r="D2215">
        <v>27774.38</v>
      </c>
      <c r="E2215" t="s">
        <v>8889</v>
      </c>
      <c r="F2215">
        <v>0</v>
      </c>
      <c r="G2215">
        <v>1.7899999618530269</v>
      </c>
      <c r="H2215">
        <v>0</v>
      </c>
      <c r="I2215">
        <v>0</v>
      </c>
      <c r="J2215" t="s">
        <v>8890</v>
      </c>
      <c r="K2215">
        <v>6090</v>
      </c>
      <c r="L2215">
        <v>7330</v>
      </c>
      <c r="M2215">
        <v>20.36</v>
      </c>
      <c r="N2215">
        <v>-0.14000000000000001</v>
      </c>
      <c r="O2215">
        <v>7.52</v>
      </c>
      <c r="P2215">
        <v>4.6399999999999997</v>
      </c>
      <c r="Q2215">
        <v>10.26</v>
      </c>
      <c r="R2215">
        <v>7.89</v>
      </c>
      <c r="S2215">
        <v>-3.51</v>
      </c>
      <c r="T2215">
        <v>0.85</v>
      </c>
      <c r="U2215">
        <v>0.59</v>
      </c>
      <c r="V2215">
        <v>1.48</v>
      </c>
      <c r="W2215">
        <v>2.91</v>
      </c>
      <c r="X2215">
        <v>2.87</v>
      </c>
      <c r="Y2215">
        <v>1.59</v>
      </c>
      <c r="Z2215">
        <v>0.16</v>
      </c>
      <c r="AA2215">
        <v>12.75</v>
      </c>
      <c r="AB2215">
        <v>3.14</v>
      </c>
      <c r="AC2215">
        <v>3.53</v>
      </c>
      <c r="AD2215">
        <v>2.75</v>
      </c>
      <c r="AE2215">
        <v>2.21</v>
      </c>
      <c r="AF2215">
        <v>4.0900000000000007</v>
      </c>
      <c r="AG2215" t="str">
        <f>HYPERLINK("https://finance.naver.com/item/fchart.naver?code=311390", "네오크레마 차트보기")</f>
        <v>네오크레마 차트보기</v>
      </c>
    </row>
    <row r="2216" spans="1:33" x14ac:dyDescent="0.3">
      <c r="A2216" t="s">
        <v>8891</v>
      </c>
      <c r="B2216" t="s">
        <v>34</v>
      </c>
      <c r="C2216" t="s">
        <v>8892</v>
      </c>
      <c r="D2216">
        <v>586.57000000000005</v>
      </c>
      <c r="E2216" t="s">
        <v>8893</v>
      </c>
      <c r="F2216">
        <v>0</v>
      </c>
      <c r="G2216">
        <v>0</v>
      </c>
      <c r="H2216">
        <v>0</v>
      </c>
      <c r="I2216">
        <v>5.2100000381469727</v>
      </c>
      <c r="J2216" t="s">
        <v>8894</v>
      </c>
      <c r="K2216">
        <v>35050</v>
      </c>
      <c r="L2216">
        <v>29750</v>
      </c>
      <c r="M2216">
        <v>-15.12</v>
      </c>
      <c r="N2216">
        <v>-0.67</v>
      </c>
      <c r="O2216">
        <v>-4.92</v>
      </c>
      <c r="P2216">
        <v>-4.55</v>
      </c>
      <c r="Q2216">
        <v>-5.31</v>
      </c>
      <c r="R2216">
        <v>-1.54</v>
      </c>
      <c r="S2216">
        <v>0.42</v>
      </c>
      <c r="T2216">
        <v>0.93</v>
      </c>
      <c r="U2216">
        <v>0.57999999999999996</v>
      </c>
      <c r="V2216">
        <v>0.55000000000000004</v>
      </c>
      <c r="W2216">
        <v>1.63</v>
      </c>
      <c r="X2216">
        <v>0.5</v>
      </c>
      <c r="Y2216">
        <v>0.56000000000000005</v>
      </c>
      <c r="Z2216">
        <v>0.72</v>
      </c>
      <c r="AA2216">
        <v>8.48</v>
      </c>
      <c r="AB2216">
        <v>8.27</v>
      </c>
      <c r="AC2216">
        <v>3.26</v>
      </c>
      <c r="AD2216">
        <v>3.08</v>
      </c>
      <c r="AE2216">
        <v>0.75</v>
      </c>
      <c r="AF2216">
        <v>4.0933333333333328</v>
      </c>
      <c r="AG2216" t="str">
        <f>HYPERLINK("https://finance.naver.com/item/fchart.naver?code=00499K", "롯데지주우 차트보기")</f>
        <v>롯데지주우 차트보기</v>
      </c>
    </row>
    <row r="2217" spans="1:33" x14ac:dyDescent="0.3">
      <c r="A2217" t="s">
        <v>8895</v>
      </c>
      <c r="B2217" t="s">
        <v>55</v>
      </c>
      <c r="C2217" t="s">
        <v>8896</v>
      </c>
      <c r="D2217">
        <v>49319.33</v>
      </c>
      <c r="E2217" t="s">
        <v>8897</v>
      </c>
      <c r="F2217">
        <v>0</v>
      </c>
      <c r="G2217">
        <v>8.2100000381469727</v>
      </c>
      <c r="H2217">
        <v>0</v>
      </c>
      <c r="I2217">
        <v>0</v>
      </c>
      <c r="J2217" t="s">
        <v>8898</v>
      </c>
      <c r="K2217">
        <v>27150</v>
      </c>
      <c r="L2217">
        <v>15980</v>
      </c>
      <c r="M2217">
        <v>-41.14</v>
      </c>
      <c r="N2217">
        <v>12.3</v>
      </c>
      <c r="O2217">
        <v>-13.43</v>
      </c>
      <c r="P2217">
        <v>-26.18</v>
      </c>
      <c r="Q2217">
        <v>28.2</v>
      </c>
      <c r="R2217">
        <v>-18.59</v>
      </c>
      <c r="S2217">
        <v>-9.5</v>
      </c>
      <c r="T2217">
        <v>8.02</v>
      </c>
      <c r="U2217">
        <v>3.14</v>
      </c>
      <c r="V2217">
        <v>6.14</v>
      </c>
      <c r="W2217">
        <v>9.08</v>
      </c>
      <c r="X2217">
        <v>2.4300000000000002</v>
      </c>
      <c r="Y2217">
        <v>2.5299999999999998</v>
      </c>
      <c r="Z2217">
        <v>1.53</v>
      </c>
      <c r="AA2217">
        <v>4.28</v>
      </c>
      <c r="AB2217">
        <v>4.26</v>
      </c>
      <c r="AC2217">
        <v>3.11</v>
      </c>
      <c r="AD2217">
        <v>7.65</v>
      </c>
      <c r="AE2217">
        <v>3.75</v>
      </c>
      <c r="AF2217">
        <v>4.0966666666666667</v>
      </c>
      <c r="AG2217" t="str">
        <f>HYPERLINK("https://finance.naver.com/item/fchart.naver?code=389500", "에스비비테크 차트보기")</f>
        <v>에스비비테크 차트보기</v>
      </c>
    </row>
    <row r="2218" spans="1:33" x14ac:dyDescent="0.3">
      <c r="A2218" t="s">
        <v>8899</v>
      </c>
      <c r="B2218" t="s">
        <v>34</v>
      </c>
      <c r="C2218" t="s">
        <v>8900</v>
      </c>
      <c r="D2218">
        <v>24088.57</v>
      </c>
      <c r="E2218" t="s">
        <v>8901</v>
      </c>
      <c r="F2218">
        <v>2.44</v>
      </c>
      <c r="G2218">
        <v>0.14000000059604639</v>
      </c>
      <c r="H2218">
        <v>5334</v>
      </c>
      <c r="I2218">
        <v>3.0699999332427979</v>
      </c>
      <c r="J2218" t="s">
        <v>8902</v>
      </c>
      <c r="K2218">
        <v>13960</v>
      </c>
      <c r="L2218">
        <v>13010</v>
      </c>
      <c r="M2218">
        <v>-6.81</v>
      </c>
      <c r="N2218">
        <v>-1.96</v>
      </c>
      <c r="O2218">
        <v>-5.82</v>
      </c>
      <c r="P2218">
        <v>-2.39</v>
      </c>
      <c r="Q2218">
        <v>-3.05</v>
      </c>
      <c r="R2218">
        <v>11.97</v>
      </c>
      <c r="S2218">
        <v>-4.2699999999999996</v>
      </c>
      <c r="T2218">
        <v>0.87</v>
      </c>
      <c r="U2218">
        <v>0.73</v>
      </c>
      <c r="V2218">
        <v>1.32</v>
      </c>
      <c r="W2218">
        <v>2.5099999999999998</v>
      </c>
      <c r="X2218">
        <v>2.09</v>
      </c>
      <c r="Y2218">
        <v>0.76</v>
      </c>
      <c r="Z2218">
        <v>2.25</v>
      </c>
      <c r="AA2218">
        <v>7.97</v>
      </c>
      <c r="AB2218">
        <v>1.81</v>
      </c>
      <c r="AC2218">
        <v>1.22</v>
      </c>
      <c r="AD2218">
        <v>5.73</v>
      </c>
      <c r="AE2218">
        <v>5.62</v>
      </c>
      <c r="AF2218">
        <v>4.1000000000000014</v>
      </c>
      <c r="AG2218" t="str">
        <f>HYPERLINK("https://finance.naver.com/item/fchart.naver?code=013580", "계룡건설 차트보기")</f>
        <v>계룡건설 차트보기</v>
      </c>
    </row>
    <row r="2219" spans="1:33" x14ac:dyDescent="0.3">
      <c r="A2219" t="s">
        <v>8903</v>
      </c>
      <c r="B2219" t="s">
        <v>55</v>
      </c>
      <c r="C2219" t="s">
        <v>8904</v>
      </c>
      <c r="D2219">
        <v>109615.14</v>
      </c>
      <c r="E2219" t="s">
        <v>8905</v>
      </c>
      <c r="F2219">
        <v>10.58</v>
      </c>
      <c r="G2219">
        <v>0.61000001430511475</v>
      </c>
      <c r="H2219">
        <v>268</v>
      </c>
      <c r="I2219">
        <v>2.6500000953674321</v>
      </c>
      <c r="J2219" t="s">
        <v>8906</v>
      </c>
      <c r="K2219">
        <v>4380</v>
      </c>
      <c r="L2219">
        <v>2835</v>
      </c>
      <c r="M2219">
        <v>-35.270000000000003</v>
      </c>
      <c r="N2219">
        <v>-9.42</v>
      </c>
      <c r="O2219">
        <v>-10.130000000000001</v>
      </c>
      <c r="P2219">
        <v>0.57999999999999996</v>
      </c>
      <c r="Q2219">
        <v>-12.12</v>
      </c>
      <c r="R2219">
        <v>-8.2799999999999994</v>
      </c>
      <c r="S2219">
        <v>-6.72</v>
      </c>
      <c r="T2219">
        <v>2.64</v>
      </c>
      <c r="U2219">
        <v>1.52</v>
      </c>
      <c r="V2219">
        <v>1.81</v>
      </c>
      <c r="W2219">
        <v>3.62</v>
      </c>
      <c r="X2219">
        <v>1.31</v>
      </c>
      <c r="Y2219">
        <v>1.53</v>
      </c>
      <c r="Z2219">
        <v>3.57</v>
      </c>
      <c r="AA2219">
        <v>6.66</v>
      </c>
      <c r="AB2219">
        <v>0.32</v>
      </c>
      <c r="AC2219">
        <v>3.35</v>
      </c>
      <c r="AD2219">
        <v>6.32</v>
      </c>
      <c r="AE2219">
        <v>4.3899999999999997</v>
      </c>
      <c r="AF2219">
        <v>4.1016666666666666</v>
      </c>
      <c r="AG2219" t="str">
        <f>HYPERLINK("https://finance.naver.com/item/fchart.naver?code=123040", "엠에스오토텍 차트보기")</f>
        <v>엠에스오토텍 차트보기</v>
      </c>
    </row>
    <row r="2220" spans="1:33" x14ac:dyDescent="0.3">
      <c r="A2220" t="s">
        <v>8907</v>
      </c>
      <c r="B2220" t="s">
        <v>34</v>
      </c>
      <c r="C2220" t="s">
        <v>8908</v>
      </c>
      <c r="D2220">
        <v>19398.52</v>
      </c>
      <c r="E2220" t="s">
        <v>8909</v>
      </c>
      <c r="F2220">
        <v>0</v>
      </c>
      <c r="G2220">
        <v>0</v>
      </c>
      <c r="H2220">
        <v>0</v>
      </c>
      <c r="I2220">
        <v>2.690000057220459</v>
      </c>
      <c r="J2220" t="s">
        <v>8910</v>
      </c>
      <c r="K2220">
        <v>49550</v>
      </c>
      <c r="L2220">
        <v>34000</v>
      </c>
      <c r="M2220">
        <v>-31.38</v>
      </c>
      <c r="N2220">
        <v>-1.02</v>
      </c>
      <c r="O2220">
        <v>-13.67</v>
      </c>
      <c r="P2220">
        <v>9.7100000000000009</v>
      </c>
      <c r="Q2220">
        <v>-29.43</v>
      </c>
      <c r="R2220">
        <v>10.19</v>
      </c>
      <c r="S2220">
        <v>-12.34</v>
      </c>
      <c r="T2220">
        <v>2.94</v>
      </c>
      <c r="U2220">
        <v>1.86</v>
      </c>
      <c r="V2220">
        <v>3.2</v>
      </c>
      <c r="W2220">
        <v>5.38</v>
      </c>
      <c r="X2220">
        <v>2.82</v>
      </c>
      <c r="Y2220">
        <v>2.56</v>
      </c>
      <c r="Z2220">
        <v>0.35</v>
      </c>
      <c r="AA2220">
        <v>7.35</v>
      </c>
      <c r="AB2220">
        <v>3.03</v>
      </c>
      <c r="AC2220">
        <v>5.47</v>
      </c>
      <c r="AD2220">
        <v>3.61</v>
      </c>
      <c r="AE2220">
        <v>4.82</v>
      </c>
      <c r="AF2220">
        <v>4.1050000000000004</v>
      </c>
      <c r="AG2220" t="str">
        <f>HYPERLINK("https://finance.naver.com/item/fchart.naver?code=090435", "아모레퍼시픽우 차트보기")</f>
        <v>아모레퍼시픽우 차트보기</v>
      </c>
    </row>
    <row r="2221" spans="1:33" x14ac:dyDescent="0.3">
      <c r="A2221" t="s">
        <v>8911</v>
      </c>
      <c r="B2221" t="s">
        <v>34</v>
      </c>
      <c r="C2221" t="s">
        <v>8912</v>
      </c>
      <c r="D2221">
        <v>17377.14</v>
      </c>
      <c r="E2221" t="s">
        <v>8913</v>
      </c>
      <c r="F2221">
        <v>8.64</v>
      </c>
      <c r="G2221">
        <v>0.46000000834465032</v>
      </c>
      <c r="H2221">
        <v>7052</v>
      </c>
      <c r="I2221">
        <v>3.279999971389771</v>
      </c>
      <c r="J2221" t="s">
        <v>8914</v>
      </c>
      <c r="K2221">
        <v>95600</v>
      </c>
      <c r="L2221">
        <v>60900</v>
      </c>
      <c r="M2221">
        <v>-36.299999999999997</v>
      </c>
      <c r="N2221">
        <v>-15.18</v>
      </c>
      <c r="O2221">
        <v>-9.74</v>
      </c>
      <c r="P2221">
        <v>-1.57</v>
      </c>
      <c r="Q2221">
        <v>-5.42</v>
      </c>
      <c r="R2221">
        <v>-18.63</v>
      </c>
      <c r="S2221">
        <v>7.18</v>
      </c>
      <c r="T2221">
        <v>2.86</v>
      </c>
      <c r="U2221">
        <v>1.54</v>
      </c>
      <c r="V2221">
        <v>1.75</v>
      </c>
      <c r="W2221">
        <v>2.89</v>
      </c>
      <c r="X2221">
        <v>2.3199999999999998</v>
      </c>
      <c r="Y2221">
        <v>3.23</v>
      </c>
      <c r="Z2221">
        <v>5.31</v>
      </c>
      <c r="AA2221">
        <v>6.32</v>
      </c>
      <c r="AB2221">
        <v>0.9</v>
      </c>
      <c r="AC2221">
        <v>1.88</v>
      </c>
      <c r="AD2221">
        <v>8.0299999999999994</v>
      </c>
      <c r="AE2221">
        <v>2.2200000000000002</v>
      </c>
      <c r="AF2221">
        <v>4.1099999999999994</v>
      </c>
      <c r="AG2221" t="str">
        <f>HYPERLINK("https://finance.naver.com/item/fchart.naver?code=456040", "OCI 차트보기")</f>
        <v>OCI 차트보기</v>
      </c>
    </row>
    <row r="2222" spans="1:33" x14ac:dyDescent="0.3">
      <c r="A2222" t="s">
        <v>8915</v>
      </c>
      <c r="B2222" t="s">
        <v>55</v>
      </c>
      <c r="C2222" t="s">
        <v>8916</v>
      </c>
      <c r="D2222">
        <v>2554970.9</v>
      </c>
      <c r="E2222" t="s">
        <v>8917</v>
      </c>
      <c r="F2222">
        <v>0</v>
      </c>
      <c r="G2222">
        <v>4.0300002098083496</v>
      </c>
      <c r="H2222">
        <v>0</v>
      </c>
      <c r="I2222">
        <v>0</v>
      </c>
      <c r="J2222" t="s">
        <v>8918</v>
      </c>
      <c r="K2222">
        <v>13730</v>
      </c>
      <c r="L2222">
        <v>17200</v>
      </c>
      <c r="M2222">
        <v>25.27</v>
      </c>
      <c r="N2222">
        <v>-5.7</v>
      </c>
      <c r="O2222">
        <v>-21.46</v>
      </c>
      <c r="P2222">
        <v>12.5</v>
      </c>
      <c r="Q2222">
        <v>70.62</v>
      </c>
      <c r="R2222">
        <v>-4.82</v>
      </c>
      <c r="S2222">
        <v>-21.58</v>
      </c>
      <c r="T2222">
        <v>2.79</v>
      </c>
      <c r="U2222">
        <v>7.07</v>
      </c>
      <c r="V2222">
        <v>5.15</v>
      </c>
      <c r="W2222">
        <v>9.34</v>
      </c>
      <c r="X2222">
        <v>8.33</v>
      </c>
      <c r="Y2222">
        <v>2.39</v>
      </c>
      <c r="Z2222">
        <v>2.04</v>
      </c>
      <c r="AA2222">
        <v>3.04</v>
      </c>
      <c r="AB2222">
        <v>2.4300000000000002</v>
      </c>
      <c r="AC2222">
        <v>7.56</v>
      </c>
      <c r="AD2222">
        <v>0.57999999999999996</v>
      </c>
      <c r="AE2222">
        <v>9.0299999999999994</v>
      </c>
      <c r="AF2222">
        <v>4.1133333333333333</v>
      </c>
      <c r="AG2222" t="str">
        <f>HYPERLINK("https://finance.naver.com/item/fchart.naver?code=439580", "블루엠텍 차트보기")</f>
        <v>블루엠텍 차트보기</v>
      </c>
    </row>
    <row r="2223" spans="1:33" x14ac:dyDescent="0.3">
      <c r="A2223" t="s">
        <v>8919</v>
      </c>
      <c r="B2223" t="s">
        <v>55</v>
      </c>
      <c r="C2223" t="s">
        <v>8920</v>
      </c>
      <c r="D2223">
        <v>572516</v>
      </c>
      <c r="E2223" t="s">
        <v>8921</v>
      </c>
      <c r="F2223">
        <v>0</v>
      </c>
      <c r="G2223">
        <v>4.9000000953674316</v>
      </c>
      <c r="H2223">
        <v>0</v>
      </c>
      <c r="I2223">
        <v>0</v>
      </c>
      <c r="J2223" t="s">
        <v>8922</v>
      </c>
      <c r="K2223">
        <v>17600</v>
      </c>
      <c r="L2223">
        <v>18610</v>
      </c>
      <c r="M2223">
        <v>5.74</v>
      </c>
      <c r="N2223">
        <v>-4.47</v>
      </c>
      <c r="O2223">
        <v>37.4</v>
      </c>
      <c r="P2223">
        <v>5.5</v>
      </c>
      <c r="Q2223">
        <v>-19.59</v>
      </c>
      <c r="R2223">
        <v>-13.71</v>
      </c>
      <c r="S2223">
        <v>17.649999999999999</v>
      </c>
      <c r="T2223">
        <v>5.27</v>
      </c>
      <c r="U2223">
        <v>4.9400000000000004</v>
      </c>
      <c r="V2223">
        <v>5.12</v>
      </c>
      <c r="W2223">
        <v>5.14</v>
      </c>
      <c r="X2223">
        <v>2.41</v>
      </c>
      <c r="Y2223">
        <v>3.09</v>
      </c>
      <c r="Z2223">
        <v>0.85</v>
      </c>
      <c r="AA2223">
        <v>7.57</v>
      </c>
      <c r="AB2223">
        <v>1.07</v>
      </c>
      <c r="AC2223">
        <v>3.81</v>
      </c>
      <c r="AD2223">
        <v>5.69</v>
      </c>
      <c r="AE2223">
        <v>5.71</v>
      </c>
      <c r="AF2223">
        <v>4.1166666666666671</v>
      </c>
      <c r="AG2223" t="str">
        <f>HYPERLINK("https://finance.naver.com/item/fchart.naver?code=440110", "파두 차트보기")</f>
        <v>파두 차트보기</v>
      </c>
    </row>
    <row r="2224" spans="1:33" x14ac:dyDescent="0.3">
      <c r="A2224" t="s">
        <v>8923</v>
      </c>
      <c r="B2224" t="s">
        <v>55</v>
      </c>
      <c r="C2224" t="s">
        <v>8924</v>
      </c>
      <c r="D2224">
        <v>171217.24</v>
      </c>
      <c r="E2224" t="s">
        <v>8925</v>
      </c>
      <c r="F2224">
        <v>0</v>
      </c>
      <c r="G2224">
        <v>2.059999942779541</v>
      </c>
      <c r="H2224">
        <v>0</v>
      </c>
      <c r="I2224">
        <v>0</v>
      </c>
      <c r="J2224" t="s">
        <v>8926</v>
      </c>
      <c r="K2224">
        <v>15210</v>
      </c>
      <c r="L2224">
        <v>9050</v>
      </c>
      <c r="M2224">
        <v>-40.5</v>
      </c>
      <c r="N2224">
        <v>19.55</v>
      </c>
      <c r="O2224">
        <v>9.0399999999999991</v>
      </c>
      <c r="P2224">
        <v>-1.06</v>
      </c>
      <c r="Q2224">
        <v>-37.119999999999997</v>
      </c>
      <c r="R2224">
        <v>-9.75</v>
      </c>
      <c r="S2224">
        <v>-12.92</v>
      </c>
      <c r="T2224">
        <v>4.83</v>
      </c>
      <c r="U2224">
        <v>3.38</v>
      </c>
      <c r="V2224">
        <v>2.7</v>
      </c>
      <c r="W2224">
        <v>4.41</v>
      </c>
      <c r="X2224">
        <v>2.6</v>
      </c>
      <c r="Y2224">
        <v>2.38</v>
      </c>
      <c r="Z2224">
        <v>4.05</v>
      </c>
      <c r="AA2224">
        <v>2.67</v>
      </c>
      <c r="AB2224">
        <v>0.39</v>
      </c>
      <c r="AC2224">
        <v>8.42</v>
      </c>
      <c r="AD2224">
        <v>3.75</v>
      </c>
      <c r="AE2224">
        <v>5.43</v>
      </c>
      <c r="AF2224">
        <v>4.1183333333333332</v>
      </c>
      <c r="AG2224" t="str">
        <f>HYPERLINK("https://finance.naver.com/item/fchart.naver?code=032500", "케이엠더블유 차트보기")</f>
        <v>케이엠더블유 차트보기</v>
      </c>
    </row>
    <row r="2225" spans="1:33" x14ac:dyDescent="0.3">
      <c r="A2225" t="s">
        <v>8927</v>
      </c>
      <c r="B2225" t="s">
        <v>55</v>
      </c>
      <c r="C2225" t="s">
        <v>8928</v>
      </c>
      <c r="D2225">
        <v>87129.86</v>
      </c>
      <c r="E2225" t="s">
        <v>8929</v>
      </c>
      <c r="F2225">
        <v>0</v>
      </c>
      <c r="G2225">
        <v>1.379999995231628</v>
      </c>
      <c r="H2225">
        <v>0</v>
      </c>
      <c r="I2225">
        <v>0</v>
      </c>
      <c r="J2225" t="s">
        <v>8930</v>
      </c>
      <c r="K2225">
        <v>826</v>
      </c>
      <c r="L2225">
        <v>706</v>
      </c>
      <c r="M2225">
        <v>-14.53</v>
      </c>
      <c r="N2225">
        <v>-0.42</v>
      </c>
      <c r="O2225">
        <v>-4.07</v>
      </c>
      <c r="P2225">
        <v>-10.75</v>
      </c>
      <c r="Q2225">
        <v>-22.52</v>
      </c>
      <c r="R2225">
        <v>-14.96</v>
      </c>
      <c r="S2225">
        <v>60.54</v>
      </c>
      <c r="T2225">
        <v>1.93</v>
      </c>
      <c r="U2225">
        <v>1.92</v>
      </c>
      <c r="V2225">
        <v>2.4900000000000002</v>
      </c>
      <c r="W2225">
        <v>2.59</v>
      </c>
      <c r="X2225">
        <v>5.23</v>
      </c>
      <c r="Y2225">
        <v>9.3000000000000007</v>
      </c>
      <c r="Z2225">
        <v>0.22</v>
      </c>
      <c r="AA2225">
        <v>2.12</v>
      </c>
      <c r="AB2225">
        <v>4.32</v>
      </c>
      <c r="AC2225">
        <v>8.69</v>
      </c>
      <c r="AD2225">
        <v>2.86</v>
      </c>
      <c r="AE2225">
        <v>6.51</v>
      </c>
      <c r="AF2225">
        <v>4.12</v>
      </c>
      <c r="AG2225" t="str">
        <f>HYPERLINK("https://finance.naver.com/item/fchart.naver?code=159910", "스킨앤스킨 차트보기")</f>
        <v>스킨앤스킨 차트보기</v>
      </c>
    </row>
    <row r="2226" spans="1:33" x14ac:dyDescent="0.3">
      <c r="A2226" t="s">
        <v>8931</v>
      </c>
      <c r="B2226" t="s">
        <v>55</v>
      </c>
      <c r="C2226" t="s">
        <v>8932</v>
      </c>
      <c r="D2226">
        <v>52657.43</v>
      </c>
      <c r="E2226" t="s">
        <v>8933</v>
      </c>
      <c r="F2226">
        <v>0</v>
      </c>
      <c r="G2226">
        <v>0</v>
      </c>
      <c r="H2226">
        <v>0</v>
      </c>
      <c r="I2226">
        <v>0</v>
      </c>
      <c r="J2226" t="s">
        <v>8934</v>
      </c>
      <c r="K2226">
        <v>16500</v>
      </c>
      <c r="L2226">
        <v>10370</v>
      </c>
      <c r="M2226">
        <v>-37.15</v>
      </c>
      <c r="N2226">
        <v>-13.87</v>
      </c>
      <c r="O2226">
        <v>-8.92</v>
      </c>
      <c r="P2226">
        <v>10.11</v>
      </c>
      <c r="Q2226">
        <v>-15.96</v>
      </c>
      <c r="R2226">
        <v>-16.760000000000002</v>
      </c>
      <c r="S2226">
        <v>27.1</v>
      </c>
      <c r="T2226">
        <v>3.18</v>
      </c>
      <c r="U2226">
        <v>3.73</v>
      </c>
      <c r="V2226">
        <v>4.53</v>
      </c>
      <c r="W2226">
        <v>5.98</v>
      </c>
      <c r="X2226">
        <v>2.89</v>
      </c>
      <c r="Y2226">
        <v>3.72</v>
      </c>
      <c r="Z2226">
        <v>4.3600000000000003</v>
      </c>
      <c r="AA2226">
        <v>2.39</v>
      </c>
      <c r="AB2226">
        <v>2.23</v>
      </c>
      <c r="AC2226">
        <v>2.67</v>
      </c>
      <c r="AD2226">
        <v>5.8</v>
      </c>
      <c r="AE2226">
        <v>7.28</v>
      </c>
      <c r="AF2226">
        <v>4.121666666666667</v>
      </c>
      <c r="AG2226" t="str">
        <f>HYPERLINK("https://finance.naver.com/item/fchart.naver?code=418620", "이에이트 차트보기")</f>
        <v>이에이트 차트보기</v>
      </c>
    </row>
    <row r="2227" spans="1:33" x14ac:dyDescent="0.3">
      <c r="A2227" t="s">
        <v>8935</v>
      </c>
      <c r="B2227" t="s">
        <v>55</v>
      </c>
      <c r="C2227" t="s">
        <v>8936</v>
      </c>
      <c r="D2227">
        <v>670202.94999999995</v>
      </c>
      <c r="E2227" t="s">
        <v>8937</v>
      </c>
      <c r="F2227">
        <v>24.22</v>
      </c>
      <c r="G2227">
        <v>2.809999942779541</v>
      </c>
      <c r="H2227">
        <v>102</v>
      </c>
      <c r="I2227">
        <v>2.0199999809265141</v>
      </c>
      <c r="J2227" t="s">
        <v>8938</v>
      </c>
      <c r="K2227">
        <v>2382</v>
      </c>
      <c r="L2227">
        <v>2470</v>
      </c>
      <c r="M2227">
        <v>3.69</v>
      </c>
      <c r="N2227">
        <v>-12.26</v>
      </c>
      <c r="O2227">
        <v>-24.12</v>
      </c>
      <c r="P2227">
        <v>-10.31</v>
      </c>
      <c r="Q2227">
        <v>34.93</v>
      </c>
      <c r="R2227">
        <v>53.18</v>
      </c>
      <c r="S2227">
        <v>-5.93</v>
      </c>
      <c r="T2227">
        <v>1.96</v>
      </c>
      <c r="U2227">
        <v>7.09</v>
      </c>
      <c r="V2227">
        <v>4.4800000000000004</v>
      </c>
      <c r="W2227">
        <v>8.4499999999999993</v>
      </c>
      <c r="X2227">
        <v>8.52</v>
      </c>
      <c r="Y2227">
        <v>2.46</v>
      </c>
      <c r="Z2227">
        <v>6.26</v>
      </c>
      <c r="AA2227">
        <v>3.4</v>
      </c>
      <c r="AB2227">
        <v>2.2999999999999998</v>
      </c>
      <c r="AC2227">
        <v>4.13</v>
      </c>
      <c r="AD2227">
        <v>6.24</v>
      </c>
      <c r="AE2227">
        <v>2.41</v>
      </c>
      <c r="AF2227">
        <v>4.1233333333333331</v>
      </c>
      <c r="AG2227" t="str">
        <f>HYPERLINK("https://finance.naver.com/item/fchart.naver?code=246250", "에스엘에스바이오 차트보기")</f>
        <v>에스엘에스바이오 차트보기</v>
      </c>
    </row>
    <row r="2228" spans="1:33" x14ac:dyDescent="0.3">
      <c r="A2228" t="s">
        <v>8939</v>
      </c>
      <c r="B2228" t="s">
        <v>55</v>
      </c>
      <c r="C2228" t="s">
        <v>8940</v>
      </c>
      <c r="D2228">
        <v>550800.48</v>
      </c>
      <c r="E2228" t="s">
        <v>8941</v>
      </c>
      <c r="F2228">
        <v>0</v>
      </c>
      <c r="G2228">
        <v>2.220000028610229</v>
      </c>
      <c r="H2228">
        <v>0</v>
      </c>
      <c r="I2228">
        <v>0</v>
      </c>
      <c r="J2228" t="s">
        <v>8942</v>
      </c>
      <c r="K2228">
        <v>2420</v>
      </c>
      <c r="L2228">
        <v>1900</v>
      </c>
      <c r="M2228">
        <v>-21.49</v>
      </c>
      <c r="N2228">
        <v>-8.65</v>
      </c>
      <c r="O2228">
        <v>27.39</v>
      </c>
      <c r="P2228">
        <v>12.13</v>
      </c>
      <c r="Q2228">
        <v>-10.86</v>
      </c>
      <c r="R2228">
        <v>-43.05</v>
      </c>
      <c r="S2228">
        <v>-5.23</v>
      </c>
      <c r="T2228">
        <v>7.14</v>
      </c>
      <c r="U2228">
        <v>2.67</v>
      </c>
      <c r="V2228">
        <v>3.79</v>
      </c>
      <c r="W2228">
        <v>3.33</v>
      </c>
      <c r="X2228">
        <v>6.96</v>
      </c>
      <c r="Y2228">
        <v>8.3699999999999992</v>
      </c>
      <c r="Z2228">
        <v>1.21</v>
      </c>
      <c r="AA2228">
        <v>10.26</v>
      </c>
      <c r="AB2228">
        <v>3.2</v>
      </c>
      <c r="AC2228">
        <v>3.26</v>
      </c>
      <c r="AD2228">
        <v>6.19</v>
      </c>
      <c r="AE2228">
        <v>0.62</v>
      </c>
      <c r="AF2228">
        <v>4.123333333333334</v>
      </c>
      <c r="AG2228" t="str">
        <f>HYPERLINK("https://finance.naver.com/item/fchart.naver?code=217730", "강스템바이오텍 차트보기")</f>
        <v>강스템바이오텍 차트보기</v>
      </c>
    </row>
    <row r="2229" spans="1:33" x14ac:dyDescent="0.3">
      <c r="A2229" t="s">
        <v>8943</v>
      </c>
      <c r="B2229" t="s">
        <v>55</v>
      </c>
      <c r="C2229" t="s">
        <v>8944</v>
      </c>
      <c r="D2229">
        <v>18957.099999999999</v>
      </c>
      <c r="E2229" t="s">
        <v>8945</v>
      </c>
      <c r="F2229">
        <v>0.51</v>
      </c>
      <c r="G2229">
        <v>0.18999999761581421</v>
      </c>
      <c r="H2229">
        <v>11040</v>
      </c>
      <c r="I2229">
        <v>0</v>
      </c>
      <c r="J2229" t="s">
        <v>8946</v>
      </c>
      <c r="K2229">
        <v>4370</v>
      </c>
      <c r="L2229">
        <v>5680</v>
      </c>
      <c r="M2229">
        <v>29.98</v>
      </c>
      <c r="N2229">
        <v>-5.33</v>
      </c>
      <c r="O2229">
        <v>176.96</v>
      </c>
      <c r="P2229">
        <v>-12.5</v>
      </c>
      <c r="Q2229">
        <v>-27.73</v>
      </c>
      <c r="R2229">
        <v>-3.83</v>
      </c>
      <c r="S2229">
        <v>-15.24</v>
      </c>
      <c r="T2229">
        <v>1.28</v>
      </c>
      <c r="U2229">
        <v>44.66</v>
      </c>
      <c r="V2229">
        <v>3.49</v>
      </c>
      <c r="W2229">
        <v>9.58</v>
      </c>
      <c r="X2229">
        <v>2.95</v>
      </c>
      <c r="Y2229">
        <v>1.72</v>
      </c>
      <c r="Z2229">
        <v>4.16</v>
      </c>
      <c r="AA2229">
        <v>3.96</v>
      </c>
      <c r="AB2229">
        <v>3.58</v>
      </c>
      <c r="AC2229">
        <v>2.89</v>
      </c>
      <c r="AD2229">
        <v>1.3</v>
      </c>
      <c r="AE2229">
        <v>8.86</v>
      </c>
      <c r="AF2229">
        <v>4.125</v>
      </c>
      <c r="AG2229" t="str">
        <f>HYPERLINK("https://finance.naver.com/item/fchart.naver?code=042940", "상지건설 차트보기")</f>
        <v>상지건설 차트보기</v>
      </c>
    </row>
    <row r="2230" spans="1:33" x14ac:dyDescent="0.3">
      <c r="A2230" t="s">
        <v>8947</v>
      </c>
      <c r="B2230" t="s">
        <v>55</v>
      </c>
      <c r="C2230" t="s">
        <v>8948</v>
      </c>
      <c r="D2230">
        <v>222817</v>
      </c>
      <c r="E2230" t="s">
        <v>8949</v>
      </c>
      <c r="F2230">
        <v>17.29</v>
      </c>
      <c r="G2230">
        <v>1.029999971389771</v>
      </c>
      <c r="H2230">
        <v>269</v>
      </c>
      <c r="I2230">
        <v>1.5099999904632571</v>
      </c>
      <c r="J2230" t="s">
        <v>8950</v>
      </c>
      <c r="K2230">
        <v>6500</v>
      </c>
      <c r="L2230">
        <v>4650</v>
      </c>
      <c r="M2230">
        <v>-28.46</v>
      </c>
      <c r="N2230">
        <v>-8.82</v>
      </c>
      <c r="O2230">
        <v>-11.97</v>
      </c>
      <c r="P2230">
        <v>9.7100000000000009</v>
      </c>
      <c r="Q2230">
        <v>4.04</v>
      </c>
      <c r="R2230">
        <v>5.83</v>
      </c>
      <c r="S2230">
        <v>-18.64</v>
      </c>
      <c r="T2230">
        <v>1.68</v>
      </c>
      <c r="U2230">
        <v>2.38</v>
      </c>
      <c r="V2230">
        <v>3.02</v>
      </c>
      <c r="W2230">
        <v>5.99</v>
      </c>
      <c r="X2230">
        <v>2.72</v>
      </c>
      <c r="Y2230">
        <v>2.2000000000000002</v>
      </c>
      <c r="Z2230">
        <v>5.25</v>
      </c>
      <c r="AA2230">
        <v>5.03</v>
      </c>
      <c r="AB2230">
        <v>3.22</v>
      </c>
      <c r="AC2230">
        <v>0.67</v>
      </c>
      <c r="AD2230">
        <v>2.14</v>
      </c>
      <c r="AE2230">
        <v>8.4700000000000006</v>
      </c>
      <c r="AF2230">
        <v>4.13</v>
      </c>
      <c r="AG2230" t="str">
        <f>HYPERLINK("https://finance.naver.com/item/fchart.naver?code=052260", "현대바이오랜드 차트보기")</f>
        <v>현대바이오랜드 차트보기</v>
      </c>
    </row>
    <row r="2231" spans="1:33" x14ac:dyDescent="0.3">
      <c r="A2231" t="s">
        <v>8951</v>
      </c>
      <c r="B2231" t="s">
        <v>55</v>
      </c>
      <c r="C2231" t="s">
        <v>8952</v>
      </c>
      <c r="D2231">
        <v>3133260.95</v>
      </c>
      <c r="E2231" t="s">
        <v>8953</v>
      </c>
      <c r="F2231">
        <v>40.630000000000003</v>
      </c>
      <c r="G2231">
        <v>2.779999971389771</v>
      </c>
      <c r="H2231">
        <v>80</v>
      </c>
      <c r="I2231">
        <v>0</v>
      </c>
      <c r="J2231" t="s">
        <v>8954</v>
      </c>
      <c r="K2231">
        <v>5330</v>
      </c>
      <c r="L2231">
        <v>3250</v>
      </c>
      <c r="M2231">
        <v>-39.020000000000003</v>
      </c>
      <c r="N2231">
        <v>-17.72</v>
      </c>
      <c r="O2231">
        <v>14.51</v>
      </c>
      <c r="P2231">
        <v>39.69</v>
      </c>
      <c r="Q2231">
        <v>-14.77</v>
      </c>
      <c r="R2231">
        <v>-8.8800000000000008</v>
      </c>
      <c r="S2231">
        <v>-21.99</v>
      </c>
      <c r="T2231">
        <v>5.74</v>
      </c>
      <c r="U2231">
        <v>7.27</v>
      </c>
      <c r="V2231">
        <v>8.4600000000000009</v>
      </c>
      <c r="W2231">
        <v>4.33</v>
      </c>
      <c r="X2231">
        <v>2</v>
      </c>
      <c r="Y2231">
        <v>3.07</v>
      </c>
      <c r="Z2231">
        <v>3.09</v>
      </c>
      <c r="AA2231">
        <v>2</v>
      </c>
      <c r="AB2231">
        <v>4.6900000000000004</v>
      </c>
      <c r="AC2231">
        <v>3.41</v>
      </c>
      <c r="AD2231">
        <v>4.4400000000000004</v>
      </c>
      <c r="AE2231">
        <v>7.16</v>
      </c>
      <c r="AF2231">
        <v>4.1316666666666668</v>
      </c>
      <c r="AG2231" t="str">
        <f>HYPERLINK("https://finance.naver.com/item/fchart.naver?code=408900", "스튜디오미르 차트보기")</f>
        <v>스튜디오미르 차트보기</v>
      </c>
    </row>
    <row r="2232" spans="1:33" x14ac:dyDescent="0.3">
      <c r="A2232" t="s">
        <v>8955</v>
      </c>
      <c r="B2232" t="s">
        <v>55</v>
      </c>
      <c r="C2232" t="s">
        <v>8956</v>
      </c>
      <c r="D2232">
        <v>764490.71</v>
      </c>
      <c r="E2232" t="s">
        <v>8957</v>
      </c>
      <c r="F2232">
        <v>0</v>
      </c>
      <c r="G2232">
        <v>7.440000057220459</v>
      </c>
      <c r="H2232">
        <v>0</v>
      </c>
      <c r="I2232">
        <v>0</v>
      </c>
      <c r="J2232" t="s">
        <v>8958</v>
      </c>
      <c r="K2232">
        <v>15180</v>
      </c>
      <c r="L2232">
        <v>21950</v>
      </c>
      <c r="M2232">
        <v>44.6</v>
      </c>
      <c r="N2232">
        <v>-0.9</v>
      </c>
      <c r="O2232">
        <v>44.23</v>
      </c>
      <c r="P2232">
        <v>6.63</v>
      </c>
      <c r="Q2232">
        <v>4.57</v>
      </c>
      <c r="R2232">
        <v>58.83</v>
      </c>
      <c r="S2232">
        <v>-41.28</v>
      </c>
      <c r="T2232">
        <v>8.83</v>
      </c>
      <c r="U2232">
        <v>8.7899999999999991</v>
      </c>
      <c r="V2232">
        <v>4.3600000000000003</v>
      </c>
      <c r="W2232">
        <v>5.66</v>
      </c>
      <c r="X2232">
        <v>7.08</v>
      </c>
      <c r="Y2232">
        <v>4.57</v>
      </c>
      <c r="Z2232">
        <v>0.1</v>
      </c>
      <c r="AA2232">
        <v>5.03</v>
      </c>
      <c r="AB2232">
        <v>1.52</v>
      </c>
      <c r="AC2232">
        <v>0.81</v>
      </c>
      <c r="AD2232">
        <v>8.31</v>
      </c>
      <c r="AE2232">
        <v>9.0299999999999994</v>
      </c>
      <c r="AF2232">
        <v>4.1333333333333337</v>
      </c>
      <c r="AG2232" t="str">
        <f>HYPERLINK("https://finance.naver.com/item/fchart.naver?code=226950", "올릭스 차트보기")</f>
        <v>올릭스 차트보기</v>
      </c>
    </row>
    <row r="2233" spans="1:33" x14ac:dyDescent="0.3">
      <c r="A2233" t="s">
        <v>8959</v>
      </c>
      <c r="B2233" t="s">
        <v>34</v>
      </c>
      <c r="C2233" t="s">
        <v>8960</v>
      </c>
      <c r="D2233">
        <v>427744.14</v>
      </c>
      <c r="E2233" t="s">
        <v>8961</v>
      </c>
      <c r="F2233">
        <v>6.51</v>
      </c>
      <c r="G2233">
        <v>0.55000001192092896</v>
      </c>
      <c r="H2233">
        <v>239</v>
      </c>
      <c r="I2233">
        <v>0.63999998569488525</v>
      </c>
      <c r="J2233" t="s">
        <v>8962</v>
      </c>
      <c r="K2233">
        <v>2705</v>
      </c>
      <c r="L2233">
        <v>1555</v>
      </c>
      <c r="M2233">
        <v>-42.51</v>
      </c>
      <c r="N2233">
        <v>13.17</v>
      </c>
      <c r="O2233">
        <v>-19.29</v>
      </c>
      <c r="P2233">
        <v>0.81</v>
      </c>
      <c r="Q2233">
        <v>-17.62</v>
      </c>
      <c r="R2233">
        <v>-9.2899999999999991</v>
      </c>
      <c r="S2233">
        <v>1.08</v>
      </c>
      <c r="T2233">
        <v>2.0099999999999998</v>
      </c>
      <c r="U2233">
        <v>2.72</v>
      </c>
      <c r="V2233">
        <v>1.97</v>
      </c>
      <c r="W2233">
        <v>3.62</v>
      </c>
      <c r="X2233">
        <v>1.69</v>
      </c>
      <c r="Y2233">
        <v>2.67</v>
      </c>
      <c r="Z2233">
        <v>6.55</v>
      </c>
      <c r="AA2233">
        <v>7.09</v>
      </c>
      <c r="AB2233">
        <v>0.41</v>
      </c>
      <c r="AC2233">
        <v>4.87</v>
      </c>
      <c r="AD2233">
        <v>5.5</v>
      </c>
      <c r="AE2233">
        <v>0.4</v>
      </c>
      <c r="AF2233">
        <v>4.1366666666666667</v>
      </c>
      <c r="AG2233" t="str">
        <f>HYPERLINK("https://finance.naver.com/item/fchart.naver?code=017040", "광명전기 차트보기")</f>
        <v>광명전기 차트보기</v>
      </c>
    </row>
    <row r="2234" spans="1:33" x14ac:dyDescent="0.3">
      <c r="A2234" t="s">
        <v>8963</v>
      </c>
      <c r="B2234" t="s">
        <v>34</v>
      </c>
      <c r="C2234" t="s">
        <v>8964</v>
      </c>
      <c r="D2234">
        <v>666255.62</v>
      </c>
      <c r="E2234" t="s">
        <v>8965</v>
      </c>
      <c r="F2234">
        <v>0</v>
      </c>
      <c r="G2234">
        <v>1.580000042915344</v>
      </c>
      <c r="H2234">
        <v>0</v>
      </c>
      <c r="I2234">
        <v>0</v>
      </c>
      <c r="J2234" t="s">
        <v>8966</v>
      </c>
      <c r="K2234">
        <v>2405</v>
      </c>
      <c r="L2234">
        <v>2250</v>
      </c>
      <c r="M2234">
        <v>-6.44</v>
      </c>
      <c r="N2234">
        <v>-6.25</v>
      </c>
      <c r="O2234">
        <v>1.63</v>
      </c>
      <c r="P2234">
        <v>-0.95</v>
      </c>
      <c r="Q2234">
        <v>-11.7</v>
      </c>
      <c r="R2234">
        <v>50.24</v>
      </c>
      <c r="S2234">
        <v>-10.7</v>
      </c>
      <c r="T2234">
        <v>2.2200000000000002</v>
      </c>
      <c r="U2234">
        <v>4.29</v>
      </c>
      <c r="V2234">
        <v>3.05</v>
      </c>
      <c r="W2234">
        <v>7.02</v>
      </c>
      <c r="X2234">
        <v>5.66</v>
      </c>
      <c r="Y2234">
        <v>0.99</v>
      </c>
      <c r="Z2234">
        <v>2.82</v>
      </c>
      <c r="AA2234">
        <v>0.38</v>
      </c>
      <c r="AB2234">
        <v>0.31</v>
      </c>
      <c r="AC2234">
        <v>1.67</v>
      </c>
      <c r="AD2234">
        <v>8.8800000000000008</v>
      </c>
      <c r="AE2234">
        <v>10.81</v>
      </c>
      <c r="AF2234">
        <v>4.1449999999999996</v>
      </c>
      <c r="AG2234" t="str">
        <f>HYPERLINK("https://finance.naver.com/item/fchart.naver?code=011000", "진원생명과학 차트보기")</f>
        <v>진원생명과학 차트보기</v>
      </c>
    </row>
    <row r="2235" spans="1:33" x14ac:dyDescent="0.3">
      <c r="A2235" t="s">
        <v>8967</v>
      </c>
      <c r="B2235" t="s">
        <v>55</v>
      </c>
      <c r="C2235" t="s">
        <v>8968</v>
      </c>
      <c r="D2235">
        <v>25065.24</v>
      </c>
      <c r="E2235" t="s">
        <v>8969</v>
      </c>
      <c r="F2235">
        <v>0</v>
      </c>
      <c r="G2235">
        <v>0.69999998807907104</v>
      </c>
      <c r="H2235">
        <v>0</v>
      </c>
      <c r="I2235">
        <v>0</v>
      </c>
      <c r="J2235" t="s">
        <v>8970</v>
      </c>
      <c r="K2235">
        <v>3700</v>
      </c>
      <c r="L2235">
        <v>2480</v>
      </c>
      <c r="M2235">
        <v>-32.97</v>
      </c>
      <c r="N2235">
        <v>3.55</v>
      </c>
      <c r="O2235">
        <v>-5.68</v>
      </c>
      <c r="P2235">
        <v>-6.16</v>
      </c>
      <c r="Q2235">
        <v>-7.45</v>
      </c>
      <c r="R2235">
        <v>-9.27</v>
      </c>
      <c r="S2235">
        <v>-9.75</v>
      </c>
      <c r="T2235">
        <v>1.76</v>
      </c>
      <c r="U2235">
        <v>2.0699999999999998</v>
      </c>
      <c r="V2235">
        <v>3.85</v>
      </c>
      <c r="W2235">
        <v>3.68</v>
      </c>
      <c r="X2235">
        <v>0.87</v>
      </c>
      <c r="Y2235">
        <v>1.66</v>
      </c>
      <c r="Z2235">
        <v>2.02</v>
      </c>
      <c r="AA2235">
        <v>2.74</v>
      </c>
      <c r="AB2235">
        <v>1.6</v>
      </c>
      <c r="AC2235">
        <v>2.02</v>
      </c>
      <c r="AD2235">
        <v>10.66</v>
      </c>
      <c r="AE2235">
        <v>5.87</v>
      </c>
      <c r="AF2235">
        <v>4.1516666666666664</v>
      </c>
      <c r="AG2235" t="str">
        <f>HYPERLINK("https://finance.naver.com/item/fchart.naver?code=289010", "아이스크림에듀 차트보기")</f>
        <v>아이스크림에듀 차트보기</v>
      </c>
    </row>
    <row r="2236" spans="1:33" x14ac:dyDescent="0.3">
      <c r="A2236" t="s">
        <v>8971</v>
      </c>
      <c r="B2236" t="s">
        <v>55</v>
      </c>
      <c r="C2236" t="s">
        <v>8972</v>
      </c>
      <c r="D2236">
        <v>212829.14</v>
      </c>
      <c r="E2236" t="s">
        <v>8973</v>
      </c>
      <c r="F2236">
        <v>0</v>
      </c>
      <c r="G2236">
        <v>5.3600001335144043</v>
      </c>
      <c r="H2236">
        <v>0</v>
      </c>
      <c r="I2236">
        <v>0</v>
      </c>
      <c r="J2236" t="s">
        <v>8974</v>
      </c>
      <c r="K2236">
        <v>6210</v>
      </c>
      <c r="L2236">
        <v>6860</v>
      </c>
      <c r="M2236">
        <v>10.47</v>
      </c>
      <c r="N2236">
        <v>-15.41</v>
      </c>
      <c r="O2236">
        <v>-11.99</v>
      </c>
      <c r="P2236">
        <v>-13.5</v>
      </c>
      <c r="Q2236">
        <v>-29.64</v>
      </c>
      <c r="R2236">
        <v>92.89</v>
      </c>
      <c r="S2236">
        <v>-8.42</v>
      </c>
      <c r="T2236">
        <v>2.9</v>
      </c>
      <c r="U2236">
        <v>4.95</v>
      </c>
      <c r="V2236">
        <v>7.3</v>
      </c>
      <c r="W2236">
        <v>8.1199999999999992</v>
      </c>
      <c r="X2236">
        <v>8.44</v>
      </c>
      <c r="Y2236">
        <v>12.48</v>
      </c>
      <c r="Z2236">
        <v>5.31</v>
      </c>
      <c r="AA2236">
        <v>2.42</v>
      </c>
      <c r="AB2236">
        <v>1.85</v>
      </c>
      <c r="AC2236">
        <v>3.65</v>
      </c>
      <c r="AD2236">
        <v>11.01</v>
      </c>
      <c r="AE2236">
        <v>0.67</v>
      </c>
      <c r="AF2236">
        <v>4.1516666666666673</v>
      </c>
      <c r="AG2236" t="str">
        <f>HYPERLINK("https://finance.naver.com/item/fchart.naver?code=033790", "피노 차트보기")</f>
        <v>피노 차트보기</v>
      </c>
    </row>
    <row r="2237" spans="1:33" x14ac:dyDescent="0.3">
      <c r="A2237" t="s">
        <v>8975</v>
      </c>
      <c r="B2237" t="s">
        <v>55</v>
      </c>
      <c r="C2237" t="s">
        <v>8976</v>
      </c>
      <c r="D2237">
        <v>47517.43</v>
      </c>
      <c r="E2237" t="s">
        <v>8977</v>
      </c>
      <c r="F2237">
        <v>63.45</v>
      </c>
      <c r="G2237">
        <v>0.68000000715255737</v>
      </c>
      <c r="H2237">
        <v>139</v>
      </c>
      <c r="I2237">
        <v>2.4900000095367432</v>
      </c>
      <c r="J2237" t="s">
        <v>8978</v>
      </c>
      <c r="K2237">
        <v>14900</v>
      </c>
      <c r="L2237">
        <v>8820</v>
      </c>
      <c r="M2237">
        <v>-40.81</v>
      </c>
      <c r="N2237">
        <v>-7.06</v>
      </c>
      <c r="O2237">
        <v>7.79</v>
      </c>
      <c r="P2237">
        <v>8.6199999999999992</v>
      </c>
      <c r="Q2237">
        <v>-25.36</v>
      </c>
      <c r="R2237">
        <v>-20.73</v>
      </c>
      <c r="S2237">
        <v>-0.68</v>
      </c>
      <c r="T2237">
        <v>2.14</v>
      </c>
      <c r="U2237">
        <v>3.93</v>
      </c>
      <c r="V2237">
        <v>3.19</v>
      </c>
      <c r="W2237">
        <v>5.54</v>
      </c>
      <c r="X2237">
        <v>1.73</v>
      </c>
      <c r="Y2237">
        <v>1.78</v>
      </c>
      <c r="Z2237">
        <v>3.3</v>
      </c>
      <c r="AA2237">
        <v>1.98</v>
      </c>
      <c r="AB2237">
        <v>2.7</v>
      </c>
      <c r="AC2237">
        <v>4.58</v>
      </c>
      <c r="AD2237">
        <v>11.98</v>
      </c>
      <c r="AE2237">
        <v>0.38</v>
      </c>
      <c r="AF2237">
        <v>4.1533333333333333</v>
      </c>
      <c r="AG2237" t="str">
        <f>HYPERLINK("https://finance.naver.com/item/fchart.naver?code=230240", "에치에프알 차트보기")</f>
        <v>에치에프알 차트보기</v>
      </c>
    </row>
    <row r="2238" spans="1:33" x14ac:dyDescent="0.3">
      <c r="A2238" t="s">
        <v>8979</v>
      </c>
      <c r="B2238" t="s">
        <v>34</v>
      </c>
      <c r="C2238" t="s">
        <v>8980</v>
      </c>
      <c r="D2238">
        <v>10659.81</v>
      </c>
      <c r="E2238" t="s">
        <v>8981</v>
      </c>
      <c r="F2238">
        <v>0.79</v>
      </c>
      <c r="G2238">
        <v>0.28999999165534968</v>
      </c>
      <c r="H2238">
        <v>9558</v>
      </c>
      <c r="I2238">
        <v>3.3299999237060551</v>
      </c>
      <c r="J2238" t="s">
        <v>8982</v>
      </c>
      <c r="K2238">
        <v>9100</v>
      </c>
      <c r="L2238">
        <v>7510</v>
      </c>
      <c r="M2238">
        <v>-17.47</v>
      </c>
      <c r="N2238">
        <v>-3.35</v>
      </c>
      <c r="O2238">
        <v>-3.01</v>
      </c>
      <c r="P2238">
        <v>-0.74</v>
      </c>
      <c r="Q2238">
        <v>-5.39</v>
      </c>
      <c r="R2238">
        <v>-4.8499999999999996</v>
      </c>
      <c r="S2238">
        <v>-8.64</v>
      </c>
      <c r="T2238">
        <v>0.95</v>
      </c>
      <c r="U2238">
        <v>0.5</v>
      </c>
      <c r="V2238">
        <v>0.83</v>
      </c>
      <c r="W2238">
        <v>2.13</v>
      </c>
      <c r="X2238">
        <v>0.53</v>
      </c>
      <c r="Y2238">
        <v>3.09</v>
      </c>
      <c r="Z2238">
        <v>3.53</v>
      </c>
      <c r="AA2238">
        <v>6.02</v>
      </c>
      <c r="AB2238">
        <v>0.89</v>
      </c>
      <c r="AC2238">
        <v>2.5299999999999998</v>
      </c>
      <c r="AD2238">
        <v>9.15</v>
      </c>
      <c r="AE2238">
        <v>2.8</v>
      </c>
      <c r="AF2238">
        <v>4.1533333333333333</v>
      </c>
      <c r="AG2238" t="str">
        <f>HYPERLINK("https://finance.naver.com/item/fchart.naver?code=016710", "대성홀딩스 차트보기")</f>
        <v>대성홀딩스 차트보기</v>
      </c>
    </row>
    <row r="2239" spans="1:33" x14ac:dyDescent="0.3">
      <c r="A2239" t="s">
        <v>8983</v>
      </c>
      <c r="B2239" t="s">
        <v>34</v>
      </c>
      <c r="C2239" t="s">
        <v>8984</v>
      </c>
      <c r="D2239">
        <v>1135068.33</v>
      </c>
      <c r="E2239" t="s">
        <v>8985</v>
      </c>
      <c r="F2239">
        <v>8.08</v>
      </c>
      <c r="G2239">
        <v>0.34000000357627869</v>
      </c>
      <c r="H2239">
        <v>220</v>
      </c>
      <c r="I2239">
        <v>0</v>
      </c>
      <c r="J2239" t="s">
        <v>8986</v>
      </c>
      <c r="K2239">
        <v>2105</v>
      </c>
      <c r="L2239">
        <v>1778</v>
      </c>
      <c r="M2239">
        <v>-15.53</v>
      </c>
      <c r="N2239">
        <v>-0.89</v>
      </c>
      <c r="O2239">
        <v>-9.86</v>
      </c>
      <c r="P2239">
        <v>8</v>
      </c>
      <c r="Q2239">
        <v>-13.3</v>
      </c>
      <c r="R2239">
        <v>-20.55</v>
      </c>
      <c r="S2239">
        <v>18.649999999999999</v>
      </c>
      <c r="T2239">
        <v>1.58</v>
      </c>
      <c r="U2239">
        <v>1.41</v>
      </c>
      <c r="V2239">
        <v>2.19</v>
      </c>
      <c r="W2239">
        <v>4.33</v>
      </c>
      <c r="X2239">
        <v>2.76</v>
      </c>
      <c r="Y2239">
        <v>5.81</v>
      </c>
      <c r="Z2239">
        <v>0.56000000000000005</v>
      </c>
      <c r="AA2239">
        <v>6.99</v>
      </c>
      <c r="AB2239">
        <v>3.65</v>
      </c>
      <c r="AC2239">
        <v>3.07</v>
      </c>
      <c r="AD2239">
        <v>7.45</v>
      </c>
      <c r="AE2239">
        <v>3.21</v>
      </c>
      <c r="AF2239">
        <v>4.1550000000000002</v>
      </c>
      <c r="AG2239" t="str">
        <f>HYPERLINK("https://finance.naver.com/item/fchart.naver?code=005880", "대한해운 차트보기")</f>
        <v>대한해운 차트보기</v>
      </c>
    </row>
    <row r="2240" spans="1:33" x14ac:dyDescent="0.3">
      <c r="A2240" t="s">
        <v>8987</v>
      </c>
      <c r="B2240" t="s">
        <v>55</v>
      </c>
      <c r="C2240" t="s">
        <v>8988</v>
      </c>
      <c r="D2240">
        <v>16958.48</v>
      </c>
      <c r="E2240" t="s">
        <v>8989</v>
      </c>
      <c r="F2240">
        <v>13.1</v>
      </c>
      <c r="G2240">
        <v>1.029999971389771</v>
      </c>
      <c r="H2240">
        <v>529</v>
      </c>
      <c r="I2240">
        <v>0</v>
      </c>
      <c r="J2240" t="s">
        <v>8990</v>
      </c>
      <c r="K2240">
        <v>11840</v>
      </c>
      <c r="L2240">
        <v>6930</v>
      </c>
      <c r="M2240">
        <v>-41.47</v>
      </c>
      <c r="N2240">
        <v>-0.28999999999999998</v>
      </c>
      <c r="O2240">
        <v>-5.28</v>
      </c>
      <c r="P2240">
        <v>5.26</v>
      </c>
      <c r="Q2240">
        <v>-13.4</v>
      </c>
      <c r="R2240">
        <v>-8.25</v>
      </c>
      <c r="S2240">
        <v>-21.31</v>
      </c>
      <c r="T2240">
        <v>2.19</v>
      </c>
      <c r="U2240">
        <v>1.67</v>
      </c>
      <c r="V2240">
        <v>2.64</v>
      </c>
      <c r="W2240">
        <v>4.43</v>
      </c>
      <c r="X2240">
        <v>1.83</v>
      </c>
      <c r="Y2240">
        <v>1.75</v>
      </c>
      <c r="Z2240">
        <v>0.13</v>
      </c>
      <c r="AA2240">
        <v>3.16</v>
      </c>
      <c r="AB2240">
        <v>1.99</v>
      </c>
      <c r="AC2240">
        <v>3.02</v>
      </c>
      <c r="AD2240">
        <v>4.51</v>
      </c>
      <c r="AE2240">
        <v>12.18</v>
      </c>
      <c r="AF2240">
        <v>4.165</v>
      </c>
      <c r="AG2240" t="str">
        <f>HYPERLINK("https://finance.naver.com/item/fchart.naver?code=241840", "에이스토리 차트보기")</f>
        <v>에이스토리 차트보기</v>
      </c>
    </row>
    <row r="2241" spans="1:33" x14ac:dyDescent="0.3">
      <c r="A2241" t="s">
        <v>8991</v>
      </c>
      <c r="B2241" t="s">
        <v>34</v>
      </c>
      <c r="C2241" t="s">
        <v>8992</v>
      </c>
      <c r="D2241">
        <v>1236132.05</v>
      </c>
      <c r="E2241" t="s">
        <v>8993</v>
      </c>
      <c r="F2241">
        <v>124.43</v>
      </c>
      <c r="G2241">
        <v>2.5999999046325679</v>
      </c>
      <c r="H2241">
        <v>122</v>
      </c>
      <c r="I2241">
        <v>0.6600000262260437</v>
      </c>
      <c r="J2241" t="s">
        <v>8994</v>
      </c>
      <c r="K2241">
        <v>18670</v>
      </c>
      <c r="L2241">
        <v>15180</v>
      </c>
      <c r="M2241">
        <v>-18.690000000000001</v>
      </c>
      <c r="N2241">
        <v>-10.97</v>
      </c>
      <c r="O2241">
        <v>25.24</v>
      </c>
      <c r="P2241">
        <v>14.88</v>
      </c>
      <c r="Q2241">
        <v>-24.85</v>
      </c>
      <c r="R2241">
        <v>-26.25</v>
      </c>
      <c r="S2241">
        <v>34.28</v>
      </c>
      <c r="T2241">
        <v>3.92</v>
      </c>
      <c r="U2241">
        <v>5.27</v>
      </c>
      <c r="V2241">
        <v>5.08</v>
      </c>
      <c r="W2241">
        <v>5.61</v>
      </c>
      <c r="X2241">
        <v>5.62</v>
      </c>
      <c r="Y2241">
        <v>6.37</v>
      </c>
      <c r="Z2241">
        <v>2.8</v>
      </c>
      <c r="AA2241">
        <v>4.79</v>
      </c>
      <c r="AB2241">
        <v>2.93</v>
      </c>
      <c r="AC2241">
        <v>4.43</v>
      </c>
      <c r="AD2241">
        <v>4.67</v>
      </c>
      <c r="AE2241">
        <v>5.38</v>
      </c>
      <c r="AF2241">
        <v>4.1666666666666661</v>
      </c>
      <c r="AG2241" t="str">
        <f>HYPERLINK("https://finance.naver.com/item/fchart.naver?code=003160", "디아이 차트보기")</f>
        <v>디아이 차트보기</v>
      </c>
    </row>
    <row r="2242" spans="1:33" x14ac:dyDescent="0.3">
      <c r="A2242" t="s">
        <v>8995</v>
      </c>
      <c r="B2242" t="s">
        <v>55</v>
      </c>
      <c r="C2242" t="s">
        <v>8996</v>
      </c>
      <c r="D2242">
        <v>228926.24</v>
      </c>
      <c r="E2242" t="s">
        <v>8997</v>
      </c>
      <c r="F2242">
        <v>64.67</v>
      </c>
      <c r="G2242">
        <v>5.190000057220459</v>
      </c>
      <c r="H2242">
        <v>214</v>
      </c>
      <c r="I2242">
        <v>0.15999999642372131</v>
      </c>
      <c r="J2242" t="s">
        <v>8998</v>
      </c>
      <c r="K2242">
        <v>26350</v>
      </c>
      <c r="L2242">
        <v>13840</v>
      </c>
      <c r="M2242">
        <v>-47.48</v>
      </c>
      <c r="N2242">
        <v>-8.2200000000000006</v>
      </c>
      <c r="O2242">
        <v>-15.48</v>
      </c>
      <c r="P2242">
        <v>-0.27</v>
      </c>
      <c r="Q2242">
        <v>-7.48</v>
      </c>
      <c r="R2242">
        <v>-22.53</v>
      </c>
      <c r="S2242">
        <v>-14.62</v>
      </c>
      <c r="T2242">
        <v>3.95</v>
      </c>
      <c r="U2242">
        <v>1.98</v>
      </c>
      <c r="V2242">
        <v>2.81</v>
      </c>
      <c r="W2242">
        <v>5.1100000000000003</v>
      </c>
      <c r="X2242">
        <v>2.14</v>
      </c>
      <c r="Y2242">
        <v>4.84</v>
      </c>
      <c r="Z2242">
        <v>2.08</v>
      </c>
      <c r="AA2242">
        <v>7.82</v>
      </c>
      <c r="AB2242">
        <v>0.1</v>
      </c>
      <c r="AC2242">
        <v>1.46</v>
      </c>
      <c r="AD2242">
        <v>10.53</v>
      </c>
      <c r="AE2242">
        <v>3.02</v>
      </c>
      <c r="AF2242">
        <v>4.1683333333333339</v>
      </c>
      <c r="AG2242" t="str">
        <f>HYPERLINK("https://finance.naver.com/item/fchart.naver?code=417200", "LS머트리얼즈 차트보기")</f>
        <v>LS머트리얼즈 차트보기</v>
      </c>
    </row>
    <row r="2243" spans="1:33" x14ac:dyDescent="0.3">
      <c r="A2243" t="s">
        <v>8999</v>
      </c>
      <c r="B2243" t="s">
        <v>34</v>
      </c>
      <c r="C2243" t="s">
        <v>9000</v>
      </c>
      <c r="D2243">
        <v>42443.33</v>
      </c>
      <c r="E2243" t="s">
        <v>9001</v>
      </c>
      <c r="F2243">
        <v>0</v>
      </c>
      <c r="G2243">
        <v>0</v>
      </c>
      <c r="H2243">
        <v>0</v>
      </c>
      <c r="I2243">
        <v>8.2399997711181641</v>
      </c>
      <c r="J2243" t="s">
        <v>9002</v>
      </c>
      <c r="K2243">
        <v>14880</v>
      </c>
      <c r="L2243">
        <v>15170</v>
      </c>
      <c r="M2243">
        <v>1.95</v>
      </c>
      <c r="N2243">
        <v>-3.13</v>
      </c>
      <c r="O2243">
        <v>1.76</v>
      </c>
      <c r="P2243">
        <v>-2.16</v>
      </c>
      <c r="Q2243">
        <v>1.89</v>
      </c>
      <c r="R2243">
        <v>3.51</v>
      </c>
      <c r="S2243">
        <v>1.44</v>
      </c>
      <c r="T2243">
        <v>1.03</v>
      </c>
      <c r="U2243">
        <v>0.27</v>
      </c>
      <c r="V2243">
        <v>0.6</v>
      </c>
      <c r="W2243">
        <v>1.2</v>
      </c>
      <c r="X2243">
        <v>0.49</v>
      </c>
      <c r="Y2243">
        <v>0.46</v>
      </c>
      <c r="Z2243">
        <v>3.04</v>
      </c>
      <c r="AA2243">
        <v>6.52</v>
      </c>
      <c r="AB2243">
        <v>3.6</v>
      </c>
      <c r="AC2243">
        <v>1.57</v>
      </c>
      <c r="AD2243">
        <v>7.16</v>
      </c>
      <c r="AE2243">
        <v>3.13</v>
      </c>
      <c r="AF2243">
        <v>4.17</v>
      </c>
      <c r="AG2243" t="str">
        <f>HYPERLINK("https://finance.naver.com/item/fchart.naver?code=003545", "대신증권우 차트보기")</f>
        <v>대신증권우 차트보기</v>
      </c>
    </row>
    <row r="2244" spans="1:33" x14ac:dyDescent="0.3">
      <c r="A2244" t="s">
        <v>9003</v>
      </c>
      <c r="B2244" t="s">
        <v>55</v>
      </c>
      <c r="C2244" t="s">
        <v>9004</v>
      </c>
      <c r="D2244">
        <v>1472264.05</v>
      </c>
      <c r="E2244" t="s">
        <v>9005</v>
      </c>
      <c r="F2244">
        <v>50.7</v>
      </c>
      <c r="G2244">
        <v>3.2400000095367432</v>
      </c>
      <c r="H2244">
        <v>100</v>
      </c>
      <c r="I2244">
        <v>0</v>
      </c>
      <c r="J2244" t="s">
        <v>9006</v>
      </c>
      <c r="K2244">
        <v>5250</v>
      </c>
      <c r="L2244">
        <v>5070</v>
      </c>
      <c r="M2244">
        <v>-3.43</v>
      </c>
      <c r="N2244">
        <v>10.94</v>
      </c>
      <c r="O2244">
        <v>-24.72</v>
      </c>
      <c r="P2244">
        <v>19.32</v>
      </c>
      <c r="Q2244">
        <v>6.33</v>
      </c>
      <c r="R2244">
        <v>-17.22</v>
      </c>
      <c r="S2244">
        <v>-11.76</v>
      </c>
      <c r="T2244">
        <v>3.47</v>
      </c>
      <c r="U2244">
        <v>3.14</v>
      </c>
      <c r="V2244">
        <v>6.38</v>
      </c>
      <c r="W2244">
        <v>5.55</v>
      </c>
      <c r="X2244">
        <v>2.85</v>
      </c>
      <c r="Y2244">
        <v>3.09</v>
      </c>
      <c r="Z2244">
        <v>3.15</v>
      </c>
      <c r="AA2244">
        <v>7.87</v>
      </c>
      <c r="AB2244">
        <v>3.03</v>
      </c>
      <c r="AC2244">
        <v>1.1399999999999999</v>
      </c>
      <c r="AD2244">
        <v>6.04</v>
      </c>
      <c r="AE2244">
        <v>3.81</v>
      </c>
      <c r="AF2244">
        <v>4.1733333333333329</v>
      </c>
      <c r="AG2244" t="str">
        <f>HYPERLINK("https://finance.naver.com/item/fchart.naver?code=298830", "슈어소프트테크 차트보기")</f>
        <v>슈어소프트테크 차트보기</v>
      </c>
    </row>
    <row r="2245" spans="1:33" x14ac:dyDescent="0.3">
      <c r="A2245" t="s">
        <v>9007</v>
      </c>
      <c r="B2245" t="s">
        <v>34</v>
      </c>
      <c r="C2245" t="s">
        <v>9008</v>
      </c>
      <c r="D2245">
        <v>392359.52</v>
      </c>
      <c r="E2245" t="s">
        <v>9009</v>
      </c>
      <c r="F2245">
        <v>0</v>
      </c>
      <c r="G2245">
        <v>1.0399999618530269</v>
      </c>
      <c r="H2245">
        <v>0</v>
      </c>
      <c r="I2245">
        <v>0</v>
      </c>
      <c r="J2245" t="s">
        <v>9010</v>
      </c>
      <c r="K2245">
        <v>2410</v>
      </c>
      <c r="L2245">
        <v>1578</v>
      </c>
      <c r="M2245">
        <v>-34.520000000000003</v>
      </c>
      <c r="N2245">
        <v>-3.07</v>
      </c>
      <c r="O2245">
        <v>-6.29</v>
      </c>
      <c r="P2245">
        <v>-1.98</v>
      </c>
      <c r="Q2245">
        <v>-8.6999999999999993</v>
      </c>
      <c r="R2245">
        <v>-13.68</v>
      </c>
      <c r="S2245">
        <v>-9.35</v>
      </c>
      <c r="T2245">
        <v>2.2999999999999998</v>
      </c>
      <c r="U2245">
        <v>2.6</v>
      </c>
      <c r="V2245">
        <v>1.89</v>
      </c>
      <c r="W2245">
        <v>4.21</v>
      </c>
      <c r="X2245">
        <v>1.31</v>
      </c>
      <c r="Y2245">
        <v>1.21</v>
      </c>
      <c r="Z2245">
        <v>1.33</v>
      </c>
      <c r="AA2245">
        <v>2.42</v>
      </c>
      <c r="AB2245">
        <v>1.05</v>
      </c>
      <c r="AC2245">
        <v>2.0699999999999998</v>
      </c>
      <c r="AD2245">
        <v>10.44</v>
      </c>
      <c r="AE2245">
        <v>7.73</v>
      </c>
      <c r="AF2245">
        <v>4.1733333333333329</v>
      </c>
      <c r="AG2245" t="str">
        <f>HYPERLINK("https://finance.naver.com/item/fchart.naver?code=018470", "조일알미늄 차트보기")</f>
        <v>조일알미늄 차트보기</v>
      </c>
    </row>
    <row r="2246" spans="1:33" x14ac:dyDescent="0.3">
      <c r="A2246" t="s">
        <v>9011</v>
      </c>
      <c r="B2246" t="s">
        <v>34</v>
      </c>
      <c r="C2246" t="s">
        <v>9012</v>
      </c>
      <c r="D2246">
        <v>294978.14</v>
      </c>
      <c r="E2246" t="s">
        <v>9013</v>
      </c>
      <c r="F2246">
        <v>7.05</v>
      </c>
      <c r="G2246">
        <v>1.9900000095367429</v>
      </c>
      <c r="H2246">
        <v>567</v>
      </c>
      <c r="I2246">
        <v>0.5</v>
      </c>
      <c r="J2246" t="s">
        <v>9014</v>
      </c>
      <c r="K2246">
        <v>3930</v>
      </c>
      <c r="L2246">
        <v>4000</v>
      </c>
      <c r="M2246">
        <v>1.78</v>
      </c>
      <c r="N2246">
        <v>-4.76</v>
      </c>
      <c r="O2246">
        <v>-14.95</v>
      </c>
      <c r="P2246">
        <v>29.79</v>
      </c>
      <c r="Q2246">
        <v>4.53</v>
      </c>
      <c r="R2246">
        <v>-5.0199999999999996</v>
      </c>
      <c r="S2246">
        <v>9.49</v>
      </c>
      <c r="T2246">
        <v>2.42</v>
      </c>
      <c r="U2246">
        <v>3.03</v>
      </c>
      <c r="V2246">
        <v>2.44</v>
      </c>
      <c r="W2246">
        <v>4.82</v>
      </c>
      <c r="X2246">
        <v>2.83</v>
      </c>
      <c r="Y2246">
        <v>2.95</v>
      </c>
      <c r="Z2246">
        <v>1.97</v>
      </c>
      <c r="AA2246">
        <v>4.93</v>
      </c>
      <c r="AB2246">
        <v>12.21</v>
      </c>
      <c r="AC2246">
        <v>0.94</v>
      </c>
      <c r="AD2246">
        <v>1.77</v>
      </c>
      <c r="AE2246">
        <v>3.22</v>
      </c>
      <c r="AF2246">
        <v>4.1733333333333329</v>
      </c>
      <c r="AG2246" t="str">
        <f>HYPERLINK("https://finance.naver.com/item/fchart.naver?code=003720", "삼영 차트보기")</f>
        <v>삼영 차트보기</v>
      </c>
    </row>
    <row r="2247" spans="1:33" x14ac:dyDescent="0.3">
      <c r="A2247" t="s">
        <v>9015</v>
      </c>
      <c r="B2247" t="s">
        <v>55</v>
      </c>
      <c r="C2247" t="s">
        <v>9016</v>
      </c>
      <c r="D2247">
        <v>52077.62</v>
      </c>
      <c r="E2247" t="s">
        <v>9017</v>
      </c>
      <c r="F2247">
        <v>0</v>
      </c>
      <c r="G2247">
        <v>0.68999999761581421</v>
      </c>
      <c r="H2247">
        <v>0</v>
      </c>
      <c r="I2247">
        <v>0</v>
      </c>
      <c r="J2247" t="s">
        <v>9018</v>
      </c>
      <c r="K2247">
        <v>1999</v>
      </c>
      <c r="L2247">
        <v>1124</v>
      </c>
      <c r="M2247">
        <v>-43.77</v>
      </c>
      <c r="N2247">
        <v>-10.3</v>
      </c>
      <c r="O2247">
        <v>-16.84</v>
      </c>
      <c r="P2247">
        <v>-19.09</v>
      </c>
      <c r="Q2247">
        <v>-15.06</v>
      </c>
      <c r="R2247">
        <v>6.83</v>
      </c>
      <c r="S2247">
        <v>39.17</v>
      </c>
      <c r="T2247">
        <v>2.88</v>
      </c>
      <c r="U2247">
        <v>2.38</v>
      </c>
      <c r="V2247">
        <v>4.09</v>
      </c>
      <c r="W2247">
        <v>3.63</v>
      </c>
      <c r="X2247">
        <v>5.42</v>
      </c>
      <c r="Y2247">
        <v>9.0399999999999991</v>
      </c>
      <c r="Z2247">
        <v>3.58</v>
      </c>
      <c r="AA2247">
        <v>7.08</v>
      </c>
      <c r="AB2247">
        <v>4.67</v>
      </c>
      <c r="AC2247">
        <v>4.1500000000000004</v>
      </c>
      <c r="AD2247">
        <v>1.26</v>
      </c>
      <c r="AE2247">
        <v>4.33</v>
      </c>
      <c r="AF2247">
        <v>4.1783333333333337</v>
      </c>
      <c r="AG2247" t="str">
        <f>HYPERLINK("https://finance.naver.com/item/fchart.naver?code=069920", "엑시온그룹 차트보기")</f>
        <v>엑시온그룹 차트보기</v>
      </c>
    </row>
    <row r="2248" spans="1:33" x14ac:dyDescent="0.3">
      <c r="A2248" t="s">
        <v>9019</v>
      </c>
      <c r="B2248" t="s">
        <v>55</v>
      </c>
      <c r="C2248" t="s">
        <v>9020</v>
      </c>
      <c r="D2248">
        <v>41429.19</v>
      </c>
      <c r="E2248" t="s">
        <v>9021</v>
      </c>
      <c r="F2248">
        <v>0</v>
      </c>
      <c r="G2248">
        <v>1.2100000381469731</v>
      </c>
      <c r="H2248">
        <v>0</v>
      </c>
      <c r="I2248">
        <v>0</v>
      </c>
      <c r="J2248" t="s">
        <v>9022</v>
      </c>
      <c r="K2248">
        <v>1186</v>
      </c>
      <c r="L2248">
        <v>903</v>
      </c>
      <c r="M2248">
        <v>-23.86</v>
      </c>
      <c r="N2248">
        <v>-2.38</v>
      </c>
      <c r="O2248">
        <v>3.63</v>
      </c>
      <c r="P2248">
        <v>-7.87</v>
      </c>
      <c r="Q2248">
        <v>0.1</v>
      </c>
      <c r="R2248">
        <v>8.9700000000000006</v>
      </c>
      <c r="S2248">
        <v>-16.5</v>
      </c>
      <c r="T2248">
        <v>1.07</v>
      </c>
      <c r="U2248">
        <v>1.35</v>
      </c>
      <c r="V2248">
        <v>1.37</v>
      </c>
      <c r="W2248">
        <v>2.31</v>
      </c>
      <c r="X2248">
        <v>1.64</v>
      </c>
      <c r="Y2248">
        <v>1.85</v>
      </c>
      <c r="Z2248">
        <v>2.2200000000000002</v>
      </c>
      <c r="AA2248">
        <v>2.69</v>
      </c>
      <c r="AB2248">
        <v>5.74</v>
      </c>
      <c r="AC2248">
        <v>0.04</v>
      </c>
      <c r="AD2248">
        <v>5.47</v>
      </c>
      <c r="AE2248">
        <v>8.92</v>
      </c>
      <c r="AF2248">
        <v>4.18</v>
      </c>
      <c r="AG2248" t="str">
        <f>HYPERLINK("https://finance.naver.com/item/fchart.naver?code=290660", "네오펙트 차트보기")</f>
        <v>네오펙트 차트보기</v>
      </c>
    </row>
    <row r="2249" spans="1:33" x14ac:dyDescent="0.3">
      <c r="A2249" t="s">
        <v>9023</v>
      </c>
      <c r="B2249" t="s">
        <v>55</v>
      </c>
      <c r="C2249" t="s">
        <v>9024</v>
      </c>
      <c r="D2249">
        <v>11356</v>
      </c>
      <c r="E2249" t="s">
        <v>9025</v>
      </c>
      <c r="F2249">
        <v>0</v>
      </c>
      <c r="G2249">
        <v>2.059999942779541</v>
      </c>
      <c r="H2249">
        <v>0</v>
      </c>
      <c r="I2249">
        <v>0</v>
      </c>
      <c r="J2249" t="s">
        <v>9026</v>
      </c>
      <c r="K2249">
        <v>10570</v>
      </c>
      <c r="L2249">
        <v>6700</v>
      </c>
      <c r="M2249">
        <v>-36.61</v>
      </c>
      <c r="N2249">
        <v>-3.18</v>
      </c>
      <c r="O2249">
        <v>-8.34</v>
      </c>
      <c r="P2249">
        <v>-3.11</v>
      </c>
      <c r="Q2249">
        <v>-13.42</v>
      </c>
      <c r="R2249">
        <v>-12.38</v>
      </c>
      <c r="S2249">
        <v>-9.34</v>
      </c>
      <c r="T2249">
        <v>2.4500000000000002</v>
      </c>
      <c r="U2249">
        <v>2.04</v>
      </c>
      <c r="V2249">
        <v>2.4</v>
      </c>
      <c r="W2249">
        <v>4.28</v>
      </c>
      <c r="X2249">
        <v>1.2</v>
      </c>
      <c r="Y2249">
        <v>1.89</v>
      </c>
      <c r="Z2249">
        <v>1.3</v>
      </c>
      <c r="AA2249">
        <v>4.09</v>
      </c>
      <c r="AB2249">
        <v>1.3</v>
      </c>
      <c r="AC2249">
        <v>3.14</v>
      </c>
      <c r="AD2249">
        <v>10.32</v>
      </c>
      <c r="AE2249">
        <v>4.9400000000000004</v>
      </c>
      <c r="AF2249">
        <v>4.1816666666666666</v>
      </c>
      <c r="AG2249" t="str">
        <f>HYPERLINK("https://finance.naver.com/item/fchart.naver?code=357580", "아모센스 차트보기")</f>
        <v>아모센스 차트보기</v>
      </c>
    </row>
    <row r="2250" spans="1:33" x14ac:dyDescent="0.3">
      <c r="A2250" t="s">
        <v>9027</v>
      </c>
      <c r="B2250" t="s">
        <v>34</v>
      </c>
      <c r="C2250" t="s">
        <v>9028</v>
      </c>
      <c r="D2250">
        <v>52351.95</v>
      </c>
      <c r="E2250" t="s">
        <v>9029</v>
      </c>
      <c r="F2250">
        <v>5.78</v>
      </c>
      <c r="G2250">
        <v>0.28999999165534968</v>
      </c>
      <c r="H2250">
        <v>1736</v>
      </c>
      <c r="I2250">
        <v>0.60000002384185791</v>
      </c>
      <c r="J2250" t="s">
        <v>9030</v>
      </c>
      <c r="K2250">
        <v>8900</v>
      </c>
      <c r="L2250">
        <v>10030</v>
      </c>
      <c r="M2250">
        <v>12.7</v>
      </c>
      <c r="N2250">
        <v>-0.69</v>
      </c>
      <c r="O2250">
        <v>-12.79</v>
      </c>
      <c r="P2250">
        <v>-20.49</v>
      </c>
      <c r="Q2250">
        <v>9.3000000000000007</v>
      </c>
      <c r="R2250">
        <v>-20.02</v>
      </c>
      <c r="S2250">
        <v>46.62</v>
      </c>
      <c r="T2250">
        <v>2.97</v>
      </c>
      <c r="U2250">
        <v>1.96</v>
      </c>
      <c r="V2250">
        <v>3.25</v>
      </c>
      <c r="W2250">
        <v>7.08</v>
      </c>
      <c r="X2250">
        <v>3.11</v>
      </c>
      <c r="Y2250">
        <v>10.89</v>
      </c>
      <c r="Z2250">
        <v>0.23</v>
      </c>
      <c r="AA2250">
        <v>6.53</v>
      </c>
      <c r="AB2250">
        <v>6.3</v>
      </c>
      <c r="AC2250">
        <v>1.31</v>
      </c>
      <c r="AD2250">
        <v>6.44</v>
      </c>
      <c r="AE2250">
        <v>4.28</v>
      </c>
      <c r="AF2250">
        <v>4.1816666666666684</v>
      </c>
      <c r="AG2250" t="str">
        <f>HYPERLINK("https://finance.naver.com/item/fchart.naver?code=006660", "삼성공조 차트보기")</f>
        <v>삼성공조 차트보기</v>
      </c>
    </row>
    <row r="2251" spans="1:33" x14ac:dyDescent="0.3">
      <c r="A2251" t="s">
        <v>9031</v>
      </c>
      <c r="B2251" t="s">
        <v>55</v>
      </c>
      <c r="C2251" t="s">
        <v>9032</v>
      </c>
      <c r="D2251">
        <v>31464.52</v>
      </c>
      <c r="E2251" t="s">
        <v>9033</v>
      </c>
      <c r="F2251">
        <v>41.52</v>
      </c>
      <c r="G2251">
        <v>0.5</v>
      </c>
      <c r="H2251">
        <v>25</v>
      </c>
      <c r="I2251">
        <v>0</v>
      </c>
      <c r="J2251" t="s">
        <v>9034</v>
      </c>
      <c r="K2251">
        <v>1056</v>
      </c>
      <c r="L2251">
        <v>1038</v>
      </c>
      <c r="M2251">
        <v>-1.7</v>
      </c>
      <c r="N2251">
        <v>-3.62</v>
      </c>
      <c r="O2251">
        <v>2.1</v>
      </c>
      <c r="P2251">
        <v>-5.91</v>
      </c>
      <c r="Q2251">
        <v>15.79</v>
      </c>
      <c r="R2251">
        <v>-8.31</v>
      </c>
      <c r="S2251">
        <v>-4.74</v>
      </c>
      <c r="T2251">
        <v>1.6</v>
      </c>
      <c r="U2251">
        <v>1.47</v>
      </c>
      <c r="V2251">
        <v>2.19</v>
      </c>
      <c r="W2251">
        <v>3.17</v>
      </c>
      <c r="X2251">
        <v>0.99</v>
      </c>
      <c r="Y2251">
        <v>0.89</v>
      </c>
      <c r="Z2251">
        <v>2.2599999999999998</v>
      </c>
      <c r="AA2251">
        <v>1.43</v>
      </c>
      <c r="AB2251">
        <v>2.7</v>
      </c>
      <c r="AC2251">
        <v>4.9800000000000004</v>
      </c>
      <c r="AD2251">
        <v>8.39</v>
      </c>
      <c r="AE2251">
        <v>5.33</v>
      </c>
      <c r="AF2251">
        <v>4.1816666666666684</v>
      </c>
      <c r="AG2251" t="str">
        <f>HYPERLINK("https://finance.naver.com/item/fchart.naver?code=131180", "딜리 차트보기")</f>
        <v>딜리 차트보기</v>
      </c>
    </row>
    <row r="2252" spans="1:33" x14ac:dyDescent="0.3">
      <c r="A2252" t="s">
        <v>9035</v>
      </c>
      <c r="B2252" t="s">
        <v>55</v>
      </c>
      <c r="C2252" t="s">
        <v>9036</v>
      </c>
      <c r="D2252">
        <v>949492.19</v>
      </c>
      <c r="E2252" t="s">
        <v>9037</v>
      </c>
      <c r="F2252">
        <v>0</v>
      </c>
      <c r="G2252">
        <v>1.7599999904632571</v>
      </c>
      <c r="H2252">
        <v>0</v>
      </c>
      <c r="I2252">
        <v>0</v>
      </c>
      <c r="J2252" t="s">
        <v>9038</v>
      </c>
      <c r="K2252">
        <v>4526</v>
      </c>
      <c r="L2252">
        <v>2015</v>
      </c>
      <c r="M2252">
        <v>-55.48</v>
      </c>
      <c r="N2252">
        <v>-3.36</v>
      </c>
      <c r="O2252">
        <v>-33.94</v>
      </c>
      <c r="P2252">
        <v>35.18</v>
      </c>
      <c r="Q2252">
        <v>-35.799999999999997</v>
      </c>
      <c r="R2252">
        <v>-4</v>
      </c>
      <c r="S2252">
        <v>-16.32</v>
      </c>
      <c r="T2252">
        <v>3.67</v>
      </c>
      <c r="U2252">
        <v>8.08</v>
      </c>
      <c r="V2252">
        <v>7.61</v>
      </c>
      <c r="W2252">
        <v>6.6</v>
      </c>
      <c r="X2252">
        <v>3.43</v>
      </c>
      <c r="Y2252">
        <v>1.86</v>
      </c>
      <c r="Z2252">
        <v>0.92</v>
      </c>
      <c r="AA2252">
        <v>4.2</v>
      </c>
      <c r="AB2252">
        <v>4.62</v>
      </c>
      <c r="AC2252">
        <v>5.42</v>
      </c>
      <c r="AD2252">
        <v>1.17</v>
      </c>
      <c r="AE2252">
        <v>8.77</v>
      </c>
      <c r="AF2252">
        <v>4.1833333333333327</v>
      </c>
      <c r="AG2252" t="str">
        <f>HYPERLINK("https://finance.naver.com/item/fchart.naver?code=377030", "맥스트 차트보기")</f>
        <v>맥스트 차트보기</v>
      </c>
    </row>
    <row r="2253" spans="1:33" x14ac:dyDescent="0.3">
      <c r="A2253" t="s">
        <v>9039</v>
      </c>
      <c r="B2253" t="s">
        <v>55</v>
      </c>
      <c r="C2253" t="s">
        <v>9040</v>
      </c>
      <c r="D2253">
        <v>100586.62</v>
      </c>
      <c r="E2253" t="s">
        <v>9041</v>
      </c>
      <c r="F2253">
        <v>0</v>
      </c>
      <c r="G2253">
        <v>0.86000001430511475</v>
      </c>
      <c r="H2253">
        <v>0</v>
      </c>
      <c r="I2253">
        <v>0</v>
      </c>
      <c r="J2253" t="s">
        <v>9042</v>
      </c>
      <c r="K2253">
        <v>1212</v>
      </c>
      <c r="L2253">
        <v>880</v>
      </c>
      <c r="M2253">
        <v>-27.39</v>
      </c>
      <c r="N2253">
        <v>-1.68</v>
      </c>
      <c r="O2253">
        <v>-13.94</v>
      </c>
      <c r="P2253">
        <v>-10.42</v>
      </c>
      <c r="Q2253">
        <v>5.4</v>
      </c>
      <c r="R2253">
        <v>-4.83</v>
      </c>
      <c r="S2253">
        <v>-9.0500000000000007</v>
      </c>
      <c r="T2253">
        <v>1.71</v>
      </c>
      <c r="U2253">
        <v>1.91</v>
      </c>
      <c r="V2253">
        <v>1.74</v>
      </c>
      <c r="W2253">
        <v>4.5199999999999996</v>
      </c>
      <c r="X2253">
        <v>2.0099999999999998</v>
      </c>
      <c r="Y2253">
        <v>1.25</v>
      </c>
      <c r="Z2253">
        <v>0.98</v>
      </c>
      <c r="AA2253">
        <v>7.3</v>
      </c>
      <c r="AB2253">
        <v>5.99</v>
      </c>
      <c r="AC2253">
        <v>1.19</v>
      </c>
      <c r="AD2253">
        <v>2.4</v>
      </c>
      <c r="AE2253">
        <v>7.24</v>
      </c>
      <c r="AF2253">
        <v>4.1833333333333336</v>
      </c>
      <c r="AG2253" t="str">
        <f>HYPERLINK("https://finance.naver.com/item/fchart.naver?code=090150", "아이윈 차트보기")</f>
        <v>아이윈 차트보기</v>
      </c>
    </row>
    <row r="2254" spans="1:33" x14ac:dyDescent="0.3">
      <c r="A2254" t="s">
        <v>9043</v>
      </c>
      <c r="B2254" t="s">
        <v>34</v>
      </c>
      <c r="C2254" t="s">
        <v>9044</v>
      </c>
      <c r="D2254">
        <v>13254.38</v>
      </c>
      <c r="E2254" t="s">
        <v>9045</v>
      </c>
      <c r="F2254">
        <v>0</v>
      </c>
      <c r="G2254">
        <v>0</v>
      </c>
      <c r="H2254">
        <v>0</v>
      </c>
      <c r="I2254">
        <v>7.2800002098083496</v>
      </c>
      <c r="J2254" t="s">
        <v>9046</v>
      </c>
      <c r="K2254">
        <v>153200</v>
      </c>
      <c r="L2254">
        <v>157200</v>
      </c>
      <c r="M2254">
        <v>2.61</v>
      </c>
      <c r="N2254">
        <v>-0.51</v>
      </c>
      <c r="O2254">
        <v>-6.32</v>
      </c>
      <c r="P2254">
        <v>-4.45</v>
      </c>
      <c r="Q2254">
        <v>10.33</v>
      </c>
      <c r="R2254">
        <v>-8.65</v>
      </c>
      <c r="S2254">
        <v>15.86</v>
      </c>
      <c r="T2254">
        <v>1.1000000000000001</v>
      </c>
      <c r="U2254">
        <v>1.32</v>
      </c>
      <c r="V2254">
        <v>1.88</v>
      </c>
      <c r="W2254">
        <v>2.65</v>
      </c>
      <c r="X2254">
        <v>1.71</v>
      </c>
      <c r="Y2254">
        <v>1.86</v>
      </c>
      <c r="Z2254">
        <v>0.46</v>
      </c>
      <c r="AA2254">
        <v>4.79</v>
      </c>
      <c r="AB2254">
        <v>2.37</v>
      </c>
      <c r="AC2254">
        <v>3.9</v>
      </c>
      <c r="AD2254">
        <v>5.0599999999999996</v>
      </c>
      <c r="AE2254">
        <v>8.5299999999999994</v>
      </c>
      <c r="AF2254">
        <v>4.1849999999999996</v>
      </c>
      <c r="AG2254" t="str">
        <f>HYPERLINK("https://finance.naver.com/item/fchart.naver?code=005389", "현대차3우B 차트보기")</f>
        <v>현대차3우B 차트보기</v>
      </c>
    </row>
    <row r="2255" spans="1:33" x14ac:dyDescent="0.3">
      <c r="A2255" t="s">
        <v>9047</v>
      </c>
      <c r="B2255" t="s">
        <v>34</v>
      </c>
      <c r="C2255" t="s">
        <v>9048</v>
      </c>
      <c r="D2255">
        <v>82492.62</v>
      </c>
      <c r="E2255" t="s">
        <v>9049</v>
      </c>
      <c r="F2255">
        <v>39.58</v>
      </c>
      <c r="G2255">
        <v>4.25</v>
      </c>
      <c r="H2255">
        <v>12455</v>
      </c>
      <c r="I2255">
        <v>0.50999999046325684</v>
      </c>
      <c r="J2255" t="s">
        <v>9050</v>
      </c>
      <c r="K2255">
        <v>314500</v>
      </c>
      <c r="L2255">
        <v>493000</v>
      </c>
      <c r="M2255">
        <v>56.76</v>
      </c>
      <c r="N2255">
        <v>18.079999999999998</v>
      </c>
      <c r="O2255">
        <v>14.74</v>
      </c>
      <c r="P2255">
        <v>22.71</v>
      </c>
      <c r="Q2255">
        <v>-8.9600000000000009</v>
      </c>
      <c r="R2255">
        <v>-2.5099999999999998</v>
      </c>
      <c r="S2255">
        <v>-18.97</v>
      </c>
      <c r="T2255">
        <v>3.1</v>
      </c>
      <c r="U2255">
        <v>2</v>
      </c>
      <c r="V2255">
        <v>4.88</v>
      </c>
      <c r="W2255">
        <v>5.24</v>
      </c>
      <c r="X2255">
        <v>5.77</v>
      </c>
      <c r="Y2255">
        <v>3.7</v>
      </c>
      <c r="Z2255">
        <v>5.83</v>
      </c>
      <c r="AA2255">
        <v>7.37</v>
      </c>
      <c r="AB2255">
        <v>4.6500000000000004</v>
      </c>
      <c r="AC2255">
        <v>1.71</v>
      </c>
      <c r="AD2255">
        <v>0.44</v>
      </c>
      <c r="AE2255">
        <v>5.13</v>
      </c>
      <c r="AF2255">
        <v>4.1883333333333326</v>
      </c>
      <c r="AG2255" t="str">
        <f>HYPERLINK("https://finance.naver.com/item/fchart.naver?code=298040", "효성중공업 차트보기")</f>
        <v>효성중공업 차트보기</v>
      </c>
    </row>
    <row r="2256" spans="1:33" x14ac:dyDescent="0.3">
      <c r="A2256" t="s">
        <v>9051</v>
      </c>
      <c r="B2256" t="s">
        <v>55</v>
      </c>
      <c r="C2256" t="s">
        <v>9052</v>
      </c>
      <c r="D2256">
        <v>349326.43</v>
      </c>
      <c r="E2256" t="s">
        <v>9053</v>
      </c>
      <c r="F2256">
        <v>0</v>
      </c>
      <c r="G2256">
        <v>7.7600002288818359</v>
      </c>
      <c r="H2256">
        <v>0</v>
      </c>
      <c r="I2256">
        <v>0</v>
      </c>
      <c r="J2256" t="s">
        <v>9054</v>
      </c>
      <c r="K2256">
        <v>15130</v>
      </c>
      <c r="L2256">
        <v>16420</v>
      </c>
      <c r="M2256">
        <v>8.5299999999999994</v>
      </c>
      <c r="N2256">
        <v>-4.4800000000000004</v>
      </c>
      <c r="O2256">
        <v>6.32</v>
      </c>
      <c r="P2256">
        <v>31.99</v>
      </c>
      <c r="Q2256">
        <v>14.18</v>
      </c>
      <c r="R2256">
        <v>-15.25</v>
      </c>
      <c r="S2256">
        <v>-16.88</v>
      </c>
      <c r="T2256">
        <v>5.0599999999999996</v>
      </c>
      <c r="U2256">
        <v>3.54</v>
      </c>
      <c r="V2256">
        <v>3.07</v>
      </c>
      <c r="W2256">
        <v>4.76</v>
      </c>
      <c r="X2256">
        <v>2.98</v>
      </c>
      <c r="Y2256">
        <v>4.25</v>
      </c>
      <c r="Z2256">
        <v>0.89</v>
      </c>
      <c r="AA2256">
        <v>1.79</v>
      </c>
      <c r="AB2256">
        <v>10.42</v>
      </c>
      <c r="AC2256">
        <v>2.98</v>
      </c>
      <c r="AD2256">
        <v>5.12</v>
      </c>
      <c r="AE2256">
        <v>3.97</v>
      </c>
      <c r="AF2256">
        <v>4.1949999999999994</v>
      </c>
      <c r="AG2256" t="str">
        <f>HYPERLINK("https://finance.naver.com/item/fchart.naver?code=321820", "아티스트유나이티드 차트보기")</f>
        <v>아티스트유나이티드 차트보기</v>
      </c>
    </row>
    <row r="2257" spans="1:33" x14ac:dyDescent="0.3">
      <c r="A2257" t="s">
        <v>9055</v>
      </c>
      <c r="B2257" t="s">
        <v>55</v>
      </c>
      <c r="C2257" t="s">
        <v>9056</v>
      </c>
      <c r="D2257">
        <v>12314.62</v>
      </c>
      <c r="E2257" t="s">
        <v>9057</v>
      </c>
      <c r="F2257">
        <v>0</v>
      </c>
      <c r="G2257">
        <v>0.61000001430511475</v>
      </c>
      <c r="H2257">
        <v>0</v>
      </c>
      <c r="I2257">
        <v>2.3299999237060551</v>
      </c>
      <c r="J2257" t="s">
        <v>9058</v>
      </c>
      <c r="K2257">
        <v>4975</v>
      </c>
      <c r="L2257">
        <v>3435</v>
      </c>
      <c r="M2257">
        <v>-30.95</v>
      </c>
      <c r="N2257">
        <v>-5.37</v>
      </c>
      <c r="O2257">
        <v>-12.57</v>
      </c>
      <c r="P2257">
        <v>9.23</v>
      </c>
      <c r="Q2257">
        <v>-12.46</v>
      </c>
      <c r="R2257">
        <v>-8.6999999999999993</v>
      </c>
      <c r="S2257">
        <v>-2.39</v>
      </c>
      <c r="T2257">
        <v>3.62</v>
      </c>
      <c r="U2257">
        <v>1.58</v>
      </c>
      <c r="V2257">
        <v>2.56</v>
      </c>
      <c r="W2257">
        <v>4.16</v>
      </c>
      <c r="X2257">
        <v>1.1399999999999999</v>
      </c>
      <c r="Y2257">
        <v>1.6</v>
      </c>
      <c r="Z2257">
        <v>1.48</v>
      </c>
      <c r="AA2257">
        <v>7.96</v>
      </c>
      <c r="AB2257">
        <v>3.61</v>
      </c>
      <c r="AC2257">
        <v>3</v>
      </c>
      <c r="AD2257">
        <v>7.63</v>
      </c>
      <c r="AE2257">
        <v>1.49</v>
      </c>
      <c r="AF2257">
        <v>4.1949999999999994</v>
      </c>
      <c r="AG2257" t="str">
        <f>HYPERLINK("https://finance.naver.com/item/fchart.naver?code=405920", "나라셀라 차트보기")</f>
        <v>나라셀라 차트보기</v>
      </c>
    </row>
    <row r="2258" spans="1:33" x14ac:dyDescent="0.3">
      <c r="A2258" t="s">
        <v>9059</v>
      </c>
      <c r="B2258" t="s">
        <v>55</v>
      </c>
      <c r="C2258" t="s">
        <v>9060</v>
      </c>
      <c r="D2258">
        <v>112387.24</v>
      </c>
      <c r="E2258" t="s">
        <v>9061</v>
      </c>
      <c r="F2258">
        <v>13.53</v>
      </c>
      <c r="G2258">
        <v>1.309999942779541</v>
      </c>
      <c r="H2258">
        <v>204</v>
      </c>
      <c r="I2258">
        <v>0</v>
      </c>
      <c r="J2258" t="s">
        <v>9062</v>
      </c>
      <c r="K2258">
        <v>2805</v>
      </c>
      <c r="L2258">
        <v>2760</v>
      </c>
      <c r="M2258">
        <v>-1.6</v>
      </c>
      <c r="N2258">
        <v>6.15</v>
      </c>
      <c r="O2258">
        <v>-5.43</v>
      </c>
      <c r="P2258">
        <v>-9.23</v>
      </c>
      <c r="Q2258">
        <v>11.72</v>
      </c>
      <c r="R2258">
        <v>-11.06</v>
      </c>
      <c r="S2258">
        <v>8.9600000000000009</v>
      </c>
      <c r="T2258">
        <v>2.73</v>
      </c>
      <c r="U2258">
        <v>1.65</v>
      </c>
      <c r="V2258">
        <v>2.34</v>
      </c>
      <c r="W2258">
        <v>3.61</v>
      </c>
      <c r="X2258">
        <v>1.33</v>
      </c>
      <c r="Y2258">
        <v>2.17</v>
      </c>
      <c r="Z2258">
        <v>2.25</v>
      </c>
      <c r="AA2258">
        <v>3.29</v>
      </c>
      <c r="AB2258">
        <v>3.94</v>
      </c>
      <c r="AC2258">
        <v>3.25</v>
      </c>
      <c r="AD2258">
        <v>8.32</v>
      </c>
      <c r="AE2258">
        <v>4.13</v>
      </c>
      <c r="AF2258">
        <v>4.1966666666666663</v>
      </c>
      <c r="AG2258" t="str">
        <f>HYPERLINK("https://finance.naver.com/item/fchart.naver?code=310200", "애니플러스 차트보기")</f>
        <v>애니플러스 차트보기</v>
      </c>
    </row>
    <row r="2259" spans="1:33" x14ac:dyDescent="0.3">
      <c r="A2259" t="s">
        <v>9063</v>
      </c>
      <c r="B2259" t="s">
        <v>55</v>
      </c>
      <c r="C2259" t="s">
        <v>9064</v>
      </c>
      <c r="D2259">
        <v>22609.43</v>
      </c>
      <c r="E2259" t="s">
        <v>9065</v>
      </c>
      <c r="F2259">
        <v>36.53</v>
      </c>
      <c r="G2259">
        <v>1.0099999904632571</v>
      </c>
      <c r="H2259">
        <v>222</v>
      </c>
      <c r="I2259">
        <v>0.99000000953674316</v>
      </c>
      <c r="J2259" t="s">
        <v>9066</v>
      </c>
      <c r="K2259">
        <v>11760</v>
      </c>
      <c r="L2259">
        <v>8110</v>
      </c>
      <c r="M2259">
        <v>-31.04</v>
      </c>
      <c r="N2259">
        <v>-13.82</v>
      </c>
      <c r="O2259">
        <v>-9.01</v>
      </c>
      <c r="P2259">
        <v>-1.58</v>
      </c>
      <c r="Q2259">
        <v>-6.58</v>
      </c>
      <c r="R2259">
        <v>-24.66</v>
      </c>
      <c r="S2259">
        <v>18.97</v>
      </c>
      <c r="T2259">
        <v>3.43</v>
      </c>
      <c r="U2259">
        <v>2.06</v>
      </c>
      <c r="V2259">
        <v>3.08</v>
      </c>
      <c r="W2259">
        <v>5.14</v>
      </c>
      <c r="X2259">
        <v>2.69</v>
      </c>
      <c r="Y2259">
        <v>3.26</v>
      </c>
      <c r="Z2259">
        <v>4.03</v>
      </c>
      <c r="AA2259">
        <v>4.37</v>
      </c>
      <c r="AB2259">
        <v>0.51</v>
      </c>
      <c r="AC2259">
        <v>1.28</v>
      </c>
      <c r="AD2259">
        <v>9.17</v>
      </c>
      <c r="AE2259">
        <v>5.82</v>
      </c>
      <c r="AF2259">
        <v>4.1966666666666663</v>
      </c>
      <c r="AG2259" t="str">
        <f>HYPERLINK("https://finance.naver.com/item/fchart.naver?code=083500", "에프엔에스테크 차트보기")</f>
        <v>에프엔에스테크 차트보기</v>
      </c>
    </row>
    <row r="2260" spans="1:33" x14ac:dyDescent="0.3">
      <c r="A2260" t="s">
        <v>9067</v>
      </c>
      <c r="B2260" t="s">
        <v>55</v>
      </c>
      <c r="C2260" t="s">
        <v>9068</v>
      </c>
      <c r="D2260">
        <v>958883.29</v>
      </c>
      <c r="E2260" t="s">
        <v>9069</v>
      </c>
      <c r="F2260">
        <v>27.64</v>
      </c>
      <c r="G2260">
        <v>2.7899999618530269</v>
      </c>
      <c r="H2260">
        <v>125</v>
      </c>
      <c r="I2260">
        <v>0</v>
      </c>
      <c r="J2260" t="s">
        <v>9070</v>
      </c>
      <c r="K2260">
        <v>3120</v>
      </c>
      <c r="L2260">
        <v>3455</v>
      </c>
      <c r="M2260">
        <v>10.74</v>
      </c>
      <c r="N2260">
        <v>24.06</v>
      </c>
      <c r="O2260">
        <v>-3.6</v>
      </c>
      <c r="P2260">
        <v>-10.79</v>
      </c>
      <c r="Q2260">
        <v>-14.09</v>
      </c>
      <c r="R2260">
        <v>24.88</v>
      </c>
      <c r="S2260">
        <v>-12.98</v>
      </c>
      <c r="T2260">
        <v>6.87</v>
      </c>
      <c r="U2260">
        <v>1.23</v>
      </c>
      <c r="V2260">
        <v>2.09</v>
      </c>
      <c r="W2260">
        <v>4.12</v>
      </c>
      <c r="X2260">
        <v>3.04</v>
      </c>
      <c r="Y2260">
        <v>6.48</v>
      </c>
      <c r="Z2260">
        <v>3.5</v>
      </c>
      <c r="AA2260">
        <v>2.93</v>
      </c>
      <c r="AB2260">
        <v>5.16</v>
      </c>
      <c r="AC2260">
        <v>3.42</v>
      </c>
      <c r="AD2260">
        <v>8.18</v>
      </c>
      <c r="AE2260">
        <v>2</v>
      </c>
      <c r="AF2260">
        <v>4.1983333333333333</v>
      </c>
      <c r="AG2260" t="str">
        <f>HYPERLINK("https://finance.naver.com/item/fchart.naver?code=333430", "일승 차트보기")</f>
        <v>일승 차트보기</v>
      </c>
    </row>
    <row r="2261" spans="1:33" x14ac:dyDescent="0.3">
      <c r="A2261" t="s">
        <v>9071</v>
      </c>
      <c r="B2261" t="s">
        <v>55</v>
      </c>
      <c r="C2261" t="s">
        <v>9072</v>
      </c>
      <c r="D2261">
        <v>64554.81</v>
      </c>
      <c r="E2261" t="s">
        <v>9073</v>
      </c>
      <c r="F2261">
        <v>0</v>
      </c>
      <c r="G2261">
        <v>1.080000042915344</v>
      </c>
      <c r="H2261">
        <v>0</v>
      </c>
      <c r="I2261">
        <v>0</v>
      </c>
      <c r="J2261" t="s">
        <v>9074</v>
      </c>
      <c r="K2261">
        <v>10720</v>
      </c>
      <c r="L2261">
        <v>4555</v>
      </c>
      <c r="M2261">
        <v>-57.51</v>
      </c>
      <c r="N2261">
        <v>-11.72</v>
      </c>
      <c r="O2261">
        <v>-10.92</v>
      </c>
      <c r="P2261">
        <v>1.1499999999999999</v>
      </c>
      <c r="Q2261">
        <v>-15.7</v>
      </c>
      <c r="R2261">
        <v>-24.25</v>
      </c>
      <c r="S2261">
        <v>-11.38</v>
      </c>
      <c r="T2261">
        <v>3.01</v>
      </c>
      <c r="U2261">
        <v>3.46</v>
      </c>
      <c r="V2261">
        <v>3.92</v>
      </c>
      <c r="W2261">
        <v>4.9000000000000004</v>
      </c>
      <c r="X2261">
        <v>2.4900000000000002</v>
      </c>
      <c r="Y2261">
        <v>2.31</v>
      </c>
      <c r="Z2261">
        <v>3.89</v>
      </c>
      <c r="AA2261">
        <v>3.16</v>
      </c>
      <c r="AB2261">
        <v>0.28999999999999998</v>
      </c>
      <c r="AC2261">
        <v>3.2</v>
      </c>
      <c r="AD2261">
        <v>9.74</v>
      </c>
      <c r="AE2261">
        <v>4.93</v>
      </c>
      <c r="AF2261">
        <v>4.2016666666666671</v>
      </c>
      <c r="AG2261" t="str">
        <f>HYPERLINK("https://finance.naver.com/item/fchart.naver?code=412350", "레이저쎌 차트보기")</f>
        <v>레이저쎌 차트보기</v>
      </c>
    </row>
    <row r="2262" spans="1:33" x14ac:dyDescent="0.3">
      <c r="A2262" t="s">
        <v>9075</v>
      </c>
      <c r="B2262" t="s">
        <v>55</v>
      </c>
      <c r="C2262" t="s">
        <v>9076</v>
      </c>
      <c r="D2262">
        <v>79948.240000000005</v>
      </c>
      <c r="E2262" t="s">
        <v>9077</v>
      </c>
      <c r="F2262">
        <v>7.59</v>
      </c>
      <c r="G2262">
        <v>0.50999999046325684</v>
      </c>
      <c r="H2262">
        <v>74</v>
      </c>
      <c r="I2262">
        <v>0</v>
      </c>
      <c r="J2262" t="s">
        <v>9078</v>
      </c>
      <c r="K2262">
        <v>670</v>
      </c>
      <c r="L2262">
        <v>562</v>
      </c>
      <c r="M2262">
        <v>-16.12</v>
      </c>
      <c r="N2262">
        <v>-0.35</v>
      </c>
      <c r="O2262">
        <v>0</v>
      </c>
      <c r="P2262">
        <v>-3.28</v>
      </c>
      <c r="Q2262">
        <v>-16.03</v>
      </c>
      <c r="R2262">
        <v>22.1</v>
      </c>
      <c r="S2262">
        <v>-14.19</v>
      </c>
      <c r="T2262">
        <v>0.74</v>
      </c>
      <c r="U2262">
        <v>1</v>
      </c>
      <c r="V2262">
        <v>1.49</v>
      </c>
      <c r="W2262">
        <v>3.5</v>
      </c>
      <c r="X2262">
        <v>2.62</v>
      </c>
      <c r="Y2262">
        <v>1.49</v>
      </c>
      <c r="Z2262">
        <v>0.47</v>
      </c>
      <c r="AA2262">
        <v>0</v>
      </c>
      <c r="AB2262">
        <v>2.2000000000000002</v>
      </c>
      <c r="AC2262">
        <v>4.58</v>
      </c>
      <c r="AD2262">
        <v>8.44</v>
      </c>
      <c r="AE2262">
        <v>9.52</v>
      </c>
      <c r="AF2262">
        <v>4.2016666666666671</v>
      </c>
      <c r="AG2262" t="str">
        <f>HYPERLINK("https://finance.naver.com/item/fchart.naver?code=066430", "와이오엠 차트보기")</f>
        <v>와이오엠 차트보기</v>
      </c>
    </row>
    <row r="2263" spans="1:33" x14ac:dyDescent="0.3">
      <c r="A2263" t="s">
        <v>9079</v>
      </c>
      <c r="B2263" t="s">
        <v>55</v>
      </c>
      <c r="C2263" t="s">
        <v>9080</v>
      </c>
      <c r="D2263">
        <v>46867.81</v>
      </c>
      <c r="E2263" t="s">
        <v>9081</v>
      </c>
      <c r="F2263">
        <v>137.88999999999999</v>
      </c>
      <c r="G2263">
        <v>0.68000000715255737</v>
      </c>
      <c r="H2263">
        <v>38</v>
      </c>
      <c r="I2263">
        <v>0</v>
      </c>
      <c r="J2263" t="s">
        <v>9082</v>
      </c>
      <c r="K2263">
        <v>6990</v>
      </c>
      <c r="L2263">
        <v>5240</v>
      </c>
      <c r="M2263">
        <v>-25.04</v>
      </c>
      <c r="N2263">
        <v>-5.42</v>
      </c>
      <c r="O2263">
        <v>-6.05</v>
      </c>
      <c r="P2263">
        <v>-0.16</v>
      </c>
      <c r="Q2263">
        <v>-6.99</v>
      </c>
      <c r="R2263">
        <v>-12.75</v>
      </c>
      <c r="S2263">
        <v>8.51</v>
      </c>
      <c r="T2263">
        <v>1.88</v>
      </c>
      <c r="U2263">
        <v>1.4</v>
      </c>
      <c r="V2263">
        <v>1.39</v>
      </c>
      <c r="W2263">
        <v>2.84</v>
      </c>
      <c r="X2263">
        <v>1.54</v>
      </c>
      <c r="Y2263">
        <v>1.19</v>
      </c>
      <c r="Z2263">
        <v>2.88</v>
      </c>
      <c r="AA2263">
        <v>4.32</v>
      </c>
      <c r="AB2263">
        <v>0.12</v>
      </c>
      <c r="AC2263">
        <v>2.46</v>
      </c>
      <c r="AD2263">
        <v>8.2799999999999994</v>
      </c>
      <c r="AE2263">
        <v>7.15</v>
      </c>
      <c r="AF2263">
        <v>4.2016666666666671</v>
      </c>
      <c r="AG2263" t="str">
        <f>HYPERLINK("https://finance.naver.com/item/fchart.naver?code=060150", "인선이엔티 차트보기")</f>
        <v>인선이엔티 차트보기</v>
      </c>
    </row>
    <row r="2264" spans="1:33" x14ac:dyDescent="0.3">
      <c r="A2264" t="s">
        <v>9083</v>
      </c>
      <c r="B2264" t="s">
        <v>55</v>
      </c>
      <c r="C2264" t="s">
        <v>9084</v>
      </c>
      <c r="D2264">
        <v>14735.57</v>
      </c>
      <c r="E2264" t="s">
        <v>9085</v>
      </c>
      <c r="F2264">
        <v>0</v>
      </c>
      <c r="G2264">
        <v>0.93999999761581421</v>
      </c>
      <c r="H2264">
        <v>0</v>
      </c>
      <c r="I2264">
        <v>0</v>
      </c>
      <c r="J2264" t="s">
        <v>9086</v>
      </c>
      <c r="K2264">
        <v>16160</v>
      </c>
      <c r="L2264">
        <v>6020</v>
      </c>
      <c r="M2264">
        <v>-62.75</v>
      </c>
      <c r="N2264">
        <v>-5.64</v>
      </c>
      <c r="O2264">
        <v>-14.73</v>
      </c>
      <c r="P2264">
        <v>-3.81</v>
      </c>
      <c r="Q2264">
        <v>-21.01</v>
      </c>
      <c r="R2264">
        <v>-15.92</v>
      </c>
      <c r="S2264">
        <v>-14.21</v>
      </c>
      <c r="T2264">
        <v>2.4900000000000002</v>
      </c>
      <c r="U2264">
        <v>1.3</v>
      </c>
      <c r="V2264">
        <v>2.85</v>
      </c>
      <c r="W2264">
        <v>4.12</v>
      </c>
      <c r="X2264">
        <v>7.45</v>
      </c>
      <c r="Y2264">
        <v>4.68</v>
      </c>
      <c r="Z2264">
        <v>2.27</v>
      </c>
      <c r="AA2264">
        <v>11.33</v>
      </c>
      <c r="AB2264">
        <v>1.34</v>
      </c>
      <c r="AC2264">
        <v>5.0999999999999996</v>
      </c>
      <c r="AD2264">
        <v>2.14</v>
      </c>
      <c r="AE2264">
        <v>3.04</v>
      </c>
      <c r="AF2264">
        <v>4.2033333333333331</v>
      </c>
      <c r="AG2264" t="str">
        <f>HYPERLINK("https://finance.naver.com/item/fchart.naver?code=429270", "시지트로닉스 차트보기")</f>
        <v>시지트로닉스 차트보기</v>
      </c>
    </row>
    <row r="2265" spans="1:33" x14ac:dyDescent="0.3">
      <c r="A2265" t="s">
        <v>9087</v>
      </c>
      <c r="B2265" t="s">
        <v>55</v>
      </c>
      <c r="C2265" t="s">
        <v>9088</v>
      </c>
      <c r="D2265">
        <v>497891.43</v>
      </c>
      <c r="E2265" t="s">
        <v>9089</v>
      </c>
      <c r="F2265">
        <v>0</v>
      </c>
      <c r="G2265">
        <v>1.669999957084656</v>
      </c>
      <c r="H2265">
        <v>0</v>
      </c>
      <c r="I2265">
        <v>0</v>
      </c>
      <c r="J2265" t="s">
        <v>9090</v>
      </c>
      <c r="K2265">
        <v>1315</v>
      </c>
      <c r="L2265">
        <v>2040</v>
      </c>
      <c r="M2265">
        <v>55.13</v>
      </c>
      <c r="N2265">
        <v>14.93</v>
      </c>
      <c r="O2265">
        <v>29.78</v>
      </c>
      <c r="P2265">
        <v>6.65</v>
      </c>
      <c r="Q2265">
        <v>-21.26</v>
      </c>
      <c r="R2265">
        <v>-11.76</v>
      </c>
      <c r="S2265">
        <v>-24.21</v>
      </c>
      <c r="T2265">
        <v>5.13</v>
      </c>
      <c r="U2265">
        <v>4.0599999999999996</v>
      </c>
      <c r="V2265">
        <v>3.02</v>
      </c>
      <c r="W2265">
        <v>3.81</v>
      </c>
      <c r="X2265">
        <v>4.66</v>
      </c>
      <c r="Y2265">
        <v>5.17</v>
      </c>
      <c r="Z2265">
        <v>2.91</v>
      </c>
      <c r="AA2265">
        <v>7.33</v>
      </c>
      <c r="AB2265">
        <v>2.2000000000000002</v>
      </c>
      <c r="AC2265">
        <v>5.58</v>
      </c>
      <c r="AD2265">
        <v>2.52</v>
      </c>
      <c r="AE2265">
        <v>4.68</v>
      </c>
      <c r="AF2265">
        <v>4.203333333333334</v>
      </c>
      <c r="AG2265" t="str">
        <f>HYPERLINK("https://finance.naver.com/item/fchart.naver?code=023440", "제이스코홀딩스 차트보기")</f>
        <v>제이스코홀딩스 차트보기</v>
      </c>
    </row>
    <row r="2266" spans="1:33" x14ac:dyDescent="0.3">
      <c r="A2266" t="s">
        <v>9091</v>
      </c>
      <c r="B2266" t="s">
        <v>55</v>
      </c>
      <c r="C2266" t="s">
        <v>9092</v>
      </c>
      <c r="D2266">
        <v>479056.57</v>
      </c>
      <c r="E2266" t="s">
        <v>9093</v>
      </c>
      <c r="F2266">
        <v>12.09</v>
      </c>
      <c r="G2266">
        <v>4.7300000190734863</v>
      </c>
      <c r="H2266">
        <v>441</v>
      </c>
      <c r="I2266">
        <v>0.93999999761581421</v>
      </c>
      <c r="J2266" t="s">
        <v>9094</v>
      </c>
      <c r="K2266">
        <v>8130</v>
      </c>
      <c r="L2266">
        <v>5330</v>
      </c>
      <c r="M2266">
        <v>-34.44</v>
      </c>
      <c r="N2266">
        <v>-5.83</v>
      </c>
      <c r="O2266">
        <v>-15.67</v>
      </c>
      <c r="P2266">
        <v>17.25</v>
      </c>
      <c r="Q2266">
        <v>-14.06</v>
      </c>
      <c r="R2266">
        <v>-19.18</v>
      </c>
      <c r="S2266">
        <v>3.49</v>
      </c>
      <c r="T2266">
        <v>1.8</v>
      </c>
      <c r="U2266">
        <v>2.0499999999999998</v>
      </c>
      <c r="V2266">
        <v>4.0599999999999996</v>
      </c>
      <c r="W2266">
        <v>4.29</v>
      </c>
      <c r="X2266">
        <v>3.55</v>
      </c>
      <c r="Y2266">
        <v>2.4500000000000002</v>
      </c>
      <c r="Z2266">
        <v>3.24</v>
      </c>
      <c r="AA2266">
        <v>7.64</v>
      </c>
      <c r="AB2266">
        <v>4.25</v>
      </c>
      <c r="AC2266">
        <v>3.28</v>
      </c>
      <c r="AD2266">
        <v>5.4</v>
      </c>
      <c r="AE2266">
        <v>1.42</v>
      </c>
      <c r="AF2266">
        <v>4.205000000000001</v>
      </c>
      <c r="AG2266" t="str">
        <f>HYPERLINK("https://finance.naver.com/item/fchart.naver?code=336570", "원텍 차트보기")</f>
        <v>원텍 차트보기</v>
      </c>
    </row>
    <row r="2267" spans="1:33" x14ac:dyDescent="0.3">
      <c r="A2267" t="s">
        <v>9095</v>
      </c>
      <c r="B2267" t="s">
        <v>34</v>
      </c>
      <c r="C2267" t="s">
        <v>9096</v>
      </c>
      <c r="D2267">
        <v>23098.33</v>
      </c>
      <c r="E2267" t="s">
        <v>9097</v>
      </c>
      <c r="F2267">
        <v>9.5</v>
      </c>
      <c r="G2267">
        <v>1.7300000190734861</v>
      </c>
      <c r="H2267">
        <v>11337</v>
      </c>
      <c r="I2267">
        <v>3.809999942779541</v>
      </c>
      <c r="J2267" t="s">
        <v>9098</v>
      </c>
      <c r="K2267">
        <v>120600</v>
      </c>
      <c r="L2267">
        <v>107700</v>
      </c>
      <c r="M2267">
        <v>-10.7</v>
      </c>
      <c r="N2267">
        <v>-5.53</v>
      </c>
      <c r="O2267">
        <v>2.48</v>
      </c>
      <c r="P2267">
        <v>-3.86</v>
      </c>
      <c r="Q2267">
        <v>8.9600000000000009</v>
      </c>
      <c r="R2267">
        <v>-3.54</v>
      </c>
      <c r="S2267">
        <v>-12.97</v>
      </c>
      <c r="T2267">
        <v>2.8</v>
      </c>
      <c r="U2267">
        <v>1.8</v>
      </c>
      <c r="V2267">
        <v>1.86</v>
      </c>
      <c r="W2267">
        <v>1.98</v>
      </c>
      <c r="X2267">
        <v>1.85</v>
      </c>
      <c r="Y2267">
        <v>0.97</v>
      </c>
      <c r="Z2267">
        <v>1.98</v>
      </c>
      <c r="AA2267">
        <v>1.38</v>
      </c>
      <c r="AB2267">
        <v>2.08</v>
      </c>
      <c r="AC2267">
        <v>4.53</v>
      </c>
      <c r="AD2267">
        <v>1.91</v>
      </c>
      <c r="AE2267">
        <v>13.37</v>
      </c>
      <c r="AF2267">
        <v>4.208333333333333</v>
      </c>
      <c r="AG2267" t="str">
        <f>HYPERLINK("https://finance.naver.com/item/fchart.naver?code=282330", "BGF리테일 차트보기")</f>
        <v>BGF리테일 차트보기</v>
      </c>
    </row>
    <row r="2268" spans="1:33" x14ac:dyDescent="0.3">
      <c r="A2268" t="s">
        <v>9099</v>
      </c>
      <c r="B2268" t="s">
        <v>55</v>
      </c>
      <c r="C2268" t="s">
        <v>9100</v>
      </c>
      <c r="D2268">
        <v>99889.14</v>
      </c>
      <c r="E2268" t="s">
        <v>9101</v>
      </c>
      <c r="F2268">
        <v>0</v>
      </c>
      <c r="G2268">
        <v>1.220000028610229</v>
      </c>
      <c r="H2268">
        <v>0</v>
      </c>
      <c r="I2268">
        <v>0</v>
      </c>
      <c r="J2268" t="s">
        <v>9102</v>
      </c>
      <c r="K2268">
        <v>3480</v>
      </c>
      <c r="L2268">
        <v>2510</v>
      </c>
      <c r="M2268">
        <v>-27.87</v>
      </c>
      <c r="N2268">
        <v>15.14</v>
      </c>
      <c r="O2268">
        <v>-17.579999999999998</v>
      </c>
      <c r="P2268">
        <v>-13.87</v>
      </c>
      <c r="Q2268">
        <v>11.97</v>
      </c>
      <c r="R2268">
        <v>-21.88</v>
      </c>
      <c r="S2268">
        <v>-9.7899999999999991</v>
      </c>
      <c r="T2268">
        <v>4.91</v>
      </c>
      <c r="U2268">
        <v>2.4900000000000002</v>
      </c>
      <c r="V2268">
        <v>6.06</v>
      </c>
      <c r="W2268">
        <v>9.1999999999999993</v>
      </c>
      <c r="X2268">
        <v>3.46</v>
      </c>
      <c r="Y2268">
        <v>1.88</v>
      </c>
      <c r="Z2268">
        <v>3.08</v>
      </c>
      <c r="AA2268">
        <v>7.06</v>
      </c>
      <c r="AB2268">
        <v>2.29</v>
      </c>
      <c r="AC2268">
        <v>1.3</v>
      </c>
      <c r="AD2268">
        <v>6.32</v>
      </c>
      <c r="AE2268">
        <v>5.21</v>
      </c>
      <c r="AF2268">
        <v>4.21</v>
      </c>
      <c r="AG2268" t="str">
        <f>HYPERLINK("https://finance.naver.com/item/fchart.naver?code=340930", "유일에너테크 차트보기")</f>
        <v>유일에너테크 차트보기</v>
      </c>
    </row>
    <row r="2269" spans="1:33" x14ac:dyDescent="0.3">
      <c r="A2269" t="s">
        <v>9103</v>
      </c>
      <c r="B2269" t="s">
        <v>55</v>
      </c>
      <c r="C2269" t="s">
        <v>9104</v>
      </c>
      <c r="D2269">
        <v>51195.95</v>
      </c>
      <c r="E2269" t="s">
        <v>9105</v>
      </c>
      <c r="F2269">
        <v>4.54</v>
      </c>
      <c r="G2269">
        <v>0.81000000238418579</v>
      </c>
      <c r="H2269">
        <v>1944</v>
      </c>
      <c r="I2269">
        <v>1.360000014305115</v>
      </c>
      <c r="J2269" t="s">
        <v>9106</v>
      </c>
      <c r="K2269">
        <v>15880</v>
      </c>
      <c r="L2269">
        <v>8830</v>
      </c>
      <c r="M2269">
        <v>-44.4</v>
      </c>
      <c r="N2269">
        <v>-11.88</v>
      </c>
      <c r="O2269">
        <v>-13.41</v>
      </c>
      <c r="P2269">
        <v>-2.25</v>
      </c>
      <c r="Q2269">
        <v>-11.37</v>
      </c>
      <c r="R2269">
        <v>-16.07</v>
      </c>
      <c r="S2269">
        <v>-0.46</v>
      </c>
      <c r="T2269">
        <v>2.56</v>
      </c>
      <c r="U2269">
        <v>2.23</v>
      </c>
      <c r="V2269">
        <v>2.86</v>
      </c>
      <c r="W2269">
        <v>4.13</v>
      </c>
      <c r="X2269">
        <v>1.48</v>
      </c>
      <c r="Y2269">
        <v>2.06</v>
      </c>
      <c r="Z2269">
        <v>4.6399999999999997</v>
      </c>
      <c r="AA2269">
        <v>6.01</v>
      </c>
      <c r="AB2269">
        <v>0.79</v>
      </c>
      <c r="AC2269">
        <v>2.75</v>
      </c>
      <c r="AD2269">
        <v>10.86</v>
      </c>
      <c r="AE2269">
        <v>0.22</v>
      </c>
      <c r="AF2269">
        <v>4.211666666666666</v>
      </c>
      <c r="AG2269" t="str">
        <f>HYPERLINK("https://finance.naver.com/item/fchart.naver?code=091580", "상신이디피 차트보기")</f>
        <v>상신이디피 차트보기</v>
      </c>
    </row>
    <row r="2270" spans="1:33" x14ac:dyDescent="0.3">
      <c r="A2270" t="s">
        <v>9107</v>
      </c>
      <c r="B2270" t="s">
        <v>55</v>
      </c>
      <c r="C2270" t="s">
        <v>9108</v>
      </c>
      <c r="D2270">
        <v>34611.81</v>
      </c>
      <c r="E2270" t="s">
        <v>9109</v>
      </c>
      <c r="F2270">
        <v>12.5</v>
      </c>
      <c r="G2270">
        <v>0.81999999284744263</v>
      </c>
      <c r="H2270">
        <v>1430</v>
      </c>
      <c r="I2270">
        <v>1.9600000381469731</v>
      </c>
      <c r="J2270" t="s">
        <v>9110</v>
      </c>
      <c r="K2270">
        <v>25800</v>
      </c>
      <c r="L2270">
        <v>17880</v>
      </c>
      <c r="M2270">
        <v>-30.7</v>
      </c>
      <c r="N2270">
        <v>3.59</v>
      </c>
      <c r="O2270">
        <v>6.83</v>
      </c>
      <c r="P2270">
        <v>-8.36</v>
      </c>
      <c r="Q2270">
        <v>-8.5</v>
      </c>
      <c r="R2270">
        <v>-9.2799999999999994</v>
      </c>
      <c r="S2270">
        <v>-10.66</v>
      </c>
      <c r="T2270">
        <v>1.78</v>
      </c>
      <c r="U2270">
        <v>2.74</v>
      </c>
      <c r="V2270">
        <v>2.2200000000000002</v>
      </c>
      <c r="W2270">
        <v>3.51</v>
      </c>
      <c r="X2270">
        <v>1.58</v>
      </c>
      <c r="Y2270">
        <v>1.22</v>
      </c>
      <c r="Z2270">
        <v>2.02</v>
      </c>
      <c r="AA2270">
        <v>2.4900000000000002</v>
      </c>
      <c r="AB2270">
        <v>3.77</v>
      </c>
      <c r="AC2270">
        <v>2.42</v>
      </c>
      <c r="AD2270">
        <v>5.87</v>
      </c>
      <c r="AE2270">
        <v>8.74</v>
      </c>
      <c r="AF2270">
        <v>4.2183333333333337</v>
      </c>
      <c r="AG2270" t="str">
        <f>HYPERLINK("https://finance.naver.com/item/fchart.naver?code=073490", "이노와이어리스 차트보기")</f>
        <v>이노와이어리스 차트보기</v>
      </c>
    </row>
    <row r="2271" spans="1:33" x14ac:dyDescent="0.3">
      <c r="A2271" t="s">
        <v>9111</v>
      </c>
      <c r="B2271" t="s">
        <v>55</v>
      </c>
      <c r="C2271" t="s">
        <v>9112</v>
      </c>
      <c r="D2271">
        <v>192397.9</v>
      </c>
      <c r="E2271" t="s">
        <v>9113</v>
      </c>
      <c r="F2271">
        <v>0</v>
      </c>
      <c r="G2271">
        <v>2.7699999809265141</v>
      </c>
      <c r="H2271">
        <v>0</v>
      </c>
      <c r="I2271">
        <v>0</v>
      </c>
      <c r="J2271" t="s">
        <v>9114</v>
      </c>
      <c r="K2271">
        <v>11560</v>
      </c>
      <c r="L2271">
        <v>6740</v>
      </c>
      <c r="M2271">
        <v>-41.7</v>
      </c>
      <c r="N2271">
        <v>1.2</v>
      </c>
      <c r="O2271">
        <v>3.16</v>
      </c>
      <c r="P2271">
        <v>-3.07</v>
      </c>
      <c r="Q2271">
        <v>-16.32</v>
      </c>
      <c r="R2271">
        <v>-13.8</v>
      </c>
      <c r="S2271">
        <v>-12.36</v>
      </c>
      <c r="T2271">
        <v>2.17</v>
      </c>
      <c r="U2271">
        <v>4.1399999999999997</v>
      </c>
      <c r="V2271">
        <v>8.02</v>
      </c>
      <c r="W2271">
        <v>5.63</v>
      </c>
      <c r="X2271">
        <v>1.89</v>
      </c>
      <c r="Y2271">
        <v>0.92</v>
      </c>
      <c r="Z2271">
        <v>0.55000000000000004</v>
      </c>
      <c r="AA2271">
        <v>0.76</v>
      </c>
      <c r="AB2271">
        <v>0.38</v>
      </c>
      <c r="AC2271">
        <v>2.9</v>
      </c>
      <c r="AD2271">
        <v>7.3</v>
      </c>
      <c r="AE2271">
        <v>13.43</v>
      </c>
      <c r="AF2271">
        <v>4.22</v>
      </c>
      <c r="AG2271" t="str">
        <f>HYPERLINK("https://finance.naver.com/item/fchart.naver?code=189330", "씨이랩 차트보기")</f>
        <v>씨이랩 차트보기</v>
      </c>
    </row>
    <row r="2272" spans="1:33" x14ac:dyDescent="0.3">
      <c r="A2272" t="s">
        <v>9115</v>
      </c>
      <c r="B2272" t="s">
        <v>34</v>
      </c>
      <c r="C2272" t="s">
        <v>9116</v>
      </c>
      <c r="D2272">
        <v>24284.29</v>
      </c>
      <c r="E2272" t="s">
        <v>9117</v>
      </c>
      <c r="F2272">
        <v>0</v>
      </c>
      <c r="G2272">
        <v>0.31000000238418579</v>
      </c>
      <c r="H2272">
        <v>0</v>
      </c>
      <c r="I2272">
        <v>1.080000042915344</v>
      </c>
      <c r="J2272" t="s">
        <v>9118</v>
      </c>
      <c r="K2272">
        <v>148900</v>
      </c>
      <c r="L2272">
        <v>92900</v>
      </c>
      <c r="M2272">
        <v>-37.61</v>
      </c>
      <c r="N2272">
        <v>-12.11</v>
      </c>
      <c r="O2272">
        <v>-4.3600000000000003</v>
      </c>
      <c r="P2272">
        <v>13.24</v>
      </c>
      <c r="Q2272">
        <v>-11.09</v>
      </c>
      <c r="R2272">
        <v>-15.06</v>
      </c>
      <c r="S2272">
        <v>-7.89</v>
      </c>
      <c r="T2272">
        <v>3.26</v>
      </c>
      <c r="U2272">
        <v>3.14</v>
      </c>
      <c r="V2272">
        <v>3.95</v>
      </c>
      <c r="W2272">
        <v>3.31</v>
      </c>
      <c r="X2272">
        <v>1.37</v>
      </c>
      <c r="Y2272">
        <v>3.1</v>
      </c>
      <c r="Z2272">
        <v>3.71</v>
      </c>
      <c r="AA2272">
        <v>1.39</v>
      </c>
      <c r="AB2272">
        <v>3.35</v>
      </c>
      <c r="AC2272">
        <v>3.35</v>
      </c>
      <c r="AD2272">
        <v>10.99</v>
      </c>
      <c r="AE2272">
        <v>2.5499999999999998</v>
      </c>
      <c r="AF2272">
        <v>4.2233333333333336</v>
      </c>
      <c r="AG2272" t="str">
        <f>HYPERLINK("https://finance.naver.com/item/fchart.naver?code=006650", "대한유화 차트보기")</f>
        <v>대한유화 차트보기</v>
      </c>
    </row>
    <row r="2273" spans="1:33" x14ac:dyDescent="0.3">
      <c r="A2273" t="s">
        <v>9119</v>
      </c>
      <c r="B2273" t="s">
        <v>55</v>
      </c>
      <c r="C2273" t="s">
        <v>9120</v>
      </c>
      <c r="D2273">
        <v>178875.19</v>
      </c>
      <c r="E2273" t="s">
        <v>9121</v>
      </c>
      <c r="F2273">
        <v>0</v>
      </c>
      <c r="G2273">
        <v>1.440000057220459</v>
      </c>
      <c r="H2273">
        <v>0</v>
      </c>
      <c r="I2273">
        <v>0</v>
      </c>
      <c r="J2273" t="s">
        <v>9122</v>
      </c>
      <c r="K2273">
        <v>8140</v>
      </c>
      <c r="L2273">
        <v>4540</v>
      </c>
      <c r="M2273">
        <v>-44.23</v>
      </c>
      <c r="N2273">
        <v>-16.079999999999998</v>
      </c>
      <c r="O2273">
        <v>-13.09</v>
      </c>
      <c r="P2273">
        <v>11.11</v>
      </c>
      <c r="Q2273">
        <v>1.76</v>
      </c>
      <c r="R2273">
        <v>-16.57</v>
      </c>
      <c r="S2273">
        <v>-13.25</v>
      </c>
      <c r="T2273">
        <v>3.71</v>
      </c>
      <c r="U2273">
        <v>2.93</v>
      </c>
      <c r="V2273">
        <v>5.44</v>
      </c>
      <c r="W2273">
        <v>5.8</v>
      </c>
      <c r="X2273">
        <v>2.96</v>
      </c>
      <c r="Y2273">
        <v>1.54</v>
      </c>
      <c r="Z2273">
        <v>4.33</v>
      </c>
      <c r="AA2273">
        <v>4.47</v>
      </c>
      <c r="AB2273">
        <v>2.04</v>
      </c>
      <c r="AC2273">
        <v>0.3</v>
      </c>
      <c r="AD2273">
        <v>5.6</v>
      </c>
      <c r="AE2273">
        <v>8.6</v>
      </c>
      <c r="AF2273">
        <v>4.2233333333333336</v>
      </c>
      <c r="AG2273" t="str">
        <f>HYPERLINK("https://finance.naver.com/item/fchart.naver?code=297090", "씨에스베어링 차트보기")</f>
        <v>씨에스베어링 차트보기</v>
      </c>
    </row>
    <row r="2274" spans="1:33" x14ac:dyDescent="0.3">
      <c r="A2274" t="s">
        <v>9123</v>
      </c>
      <c r="B2274" t="s">
        <v>55</v>
      </c>
      <c r="C2274" t="s">
        <v>9124</v>
      </c>
      <c r="D2274">
        <v>9474272.9000000004</v>
      </c>
      <c r="E2274" t="s">
        <v>9125</v>
      </c>
      <c r="F2274">
        <v>8.6300000000000008</v>
      </c>
      <c r="G2274">
        <v>0.68000000715255737</v>
      </c>
      <c r="H2274">
        <v>331</v>
      </c>
      <c r="I2274">
        <v>0</v>
      </c>
      <c r="J2274" t="s">
        <v>9126</v>
      </c>
      <c r="K2274">
        <v>2750</v>
      </c>
      <c r="L2274">
        <v>2855</v>
      </c>
      <c r="M2274">
        <v>3.82</v>
      </c>
      <c r="N2274">
        <v>-28.71</v>
      </c>
      <c r="O2274">
        <v>-26.53</v>
      </c>
      <c r="P2274">
        <v>13.17</v>
      </c>
      <c r="Q2274">
        <v>-13.44</v>
      </c>
      <c r="R2274">
        <v>77.28</v>
      </c>
      <c r="S2274">
        <v>-0.17</v>
      </c>
      <c r="T2274">
        <v>10</v>
      </c>
      <c r="U2274">
        <v>3.39</v>
      </c>
      <c r="V2274">
        <v>7.83</v>
      </c>
      <c r="W2274">
        <v>6.04</v>
      </c>
      <c r="X2274">
        <v>7.25</v>
      </c>
      <c r="Y2274">
        <v>2.1800000000000002</v>
      </c>
      <c r="Z2274">
        <v>2.87</v>
      </c>
      <c r="AA2274">
        <v>7.83</v>
      </c>
      <c r="AB2274">
        <v>1.68</v>
      </c>
      <c r="AC2274">
        <v>2.23</v>
      </c>
      <c r="AD2274">
        <v>10.66</v>
      </c>
      <c r="AE2274">
        <v>0.08</v>
      </c>
      <c r="AF2274">
        <v>4.2249999999999996</v>
      </c>
      <c r="AG2274" t="str">
        <f>HYPERLINK("https://finance.naver.com/item/fchart.naver?code=082850", "우리바이오 차트보기")</f>
        <v>우리바이오 차트보기</v>
      </c>
    </row>
    <row r="2275" spans="1:33" x14ac:dyDescent="0.3">
      <c r="A2275" t="s">
        <v>9127</v>
      </c>
      <c r="B2275" t="s">
        <v>55</v>
      </c>
      <c r="C2275" t="s">
        <v>9128</v>
      </c>
      <c r="D2275">
        <v>2678169.52</v>
      </c>
      <c r="E2275" t="s">
        <v>9129</v>
      </c>
      <c r="F2275">
        <v>0</v>
      </c>
      <c r="G2275">
        <v>2.2599999904632568</v>
      </c>
      <c r="H2275">
        <v>0</v>
      </c>
      <c r="I2275">
        <v>0</v>
      </c>
      <c r="J2275" t="s">
        <v>9130</v>
      </c>
      <c r="K2275">
        <v>3090</v>
      </c>
      <c r="L2275">
        <v>2290</v>
      </c>
      <c r="M2275">
        <v>-25.89</v>
      </c>
      <c r="N2275">
        <v>-14.71</v>
      </c>
      <c r="O2275">
        <v>24.34</v>
      </c>
      <c r="P2275">
        <v>11.02</v>
      </c>
      <c r="Q2275">
        <v>-17.46</v>
      </c>
      <c r="R2275">
        <v>-8.5</v>
      </c>
      <c r="S2275">
        <v>-8.02</v>
      </c>
      <c r="T2275">
        <v>3.53</v>
      </c>
      <c r="U2275">
        <v>5.26</v>
      </c>
      <c r="V2275">
        <v>7.96</v>
      </c>
      <c r="W2275">
        <v>3.16</v>
      </c>
      <c r="X2275">
        <v>1.8</v>
      </c>
      <c r="Y2275">
        <v>1.62</v>
      </c>
      <c r="Z2275">
        <v>4.17</v>
      </c>
      <c r="AA2275">
        <v>4.63</v>
      </c>
      <c r="AB2275">
        <v>1.38</v>
      </c>
      <c r="AC2275">
        <v>5.53</v>
      </c>
      <c r="AD2275">
        <v>4.72</v>
      </c>
      <c r="AE2275">
        <v>4.95</v>
      </c>
      <c r="AF2275">
        <v>4.2300000000000004</v>
      </c>
      <c r="AG2275" t="str">
        <f>HYPERLINK("https://finance.naver.com/item/fchart.naver?code=306620", "네온테크 차트보기")</f>
        <v>네온테크 차트보기</v>
      </c>
    </row>
    <row r="2276" spans="1:33" x14ac:dyDescent="0.3">
      <c r="A2276" t="s">
        <v>9131</v>
      </c>
      <c r="B2276" t="s">
        <v>34</v>
      </c>
      <c r="C2276" t="s">
        <v>9132</v>
      </c>
      <c r="D2276">
        <v>38692.9</v>
      </c>
      <c r="E2276" t="s">
        <v>9133</v>
      </c>
      <c r="F2276">
        <v>13.66</v>
      </c>
      <c r="G2276">
        <v>2.1800000667572021</v>
      </c>
      <c r="H2276">
        <v>10656</v>
      </c>
      <c r="I2276">
        <v>0.40999999642372131</v>
      </c>
      <c r="J2276" t="s">
        <v>9134</v>
      </c>
      <c r="K2276">
        <v>111400</v>
      </c>
      <c r="L2276">
        <v>145600</v>
      </c>
      <c r="M2276">
        <v>30.7</v>
      </c>
      <c r="N2276">
        <v>-5.94</v>
      </c>
      <c r="O2276">
        <v>17.34</v>
      </c>
      <c r="P2276">
        <v>-6.43</v>
      </c>
      <c r="Q2276">
        <v>15.83</v>
      </c>
      <c r="R2276">
        <v>20.27</v>
      </c>
      <c r="S2276">
        <v>-4.57</v>
      </c>
      <c r="T2276">
        <v>3.43</v>
      </c>
      <c r="U2276">
        <v>2.85</v>
      </c>
      <c r="V2276">
        <v>3.25</v>
      </c>
      <c r="W2276">
        <v>5.0999999999999996</v>
      </c>
      <c r="X2276">
        <v>2.68</v>
      </c>
      <c r="Y2276">
        <v>0.92</v>
      </c>
      <c r="Z2276">
        <v>1.73</v>
      </c>
      <c r="AA2276">
        <v>6.08</v>
      </c>
      <c r="AB2276">
        <v>1.98</v>
      </c>
      <c r="AC2276">
        <v>3.1</v>
      </c>
      <c r="AD2276">
        <v>7.56</v>
      </c>
      <c r="AE2276">
        <v>4.97</v>
      </c>
      <c r="AF2276">
        <v>4.2366666666666664</v>
      </c>
      <c r="AG2276" t="str">
        <f>HYPERLINK("https://finance.naver.com/item/fchart.naver?code=069620", "대웅제약 차트보기")</f>
        <v>대웅제약 차트보기</v>
      </c>
    </row>
    <row r="2277" spans="1:33" x14ac:dyDescent="0.3">
      <c r="A2277" t="s">
        <v>9135</v>
      </c>
      <c r="B2277" t="s">
        <v>55</v>
      </c>
      <c r="C2277" t="s">
        <v>9136</v>
      </c>
      <c r="D2277">
        <v>18177.330000000002</v>
      </c>
      <c r="E2277" t="s">
        <v>9137</v>
      </c>
      <c r="F2277">
        <v>28.9</v>
      </c>
      <c r="G2277">
        <v>0.97000002861022949</v>
      </c>
      <c r="H2277">
        <v>346</v>
      </c>
      <c r="I2277">
        <v>1</v>
      </c>
      <c r="J2277" t="s">
        <v>9138</v>
      </c>
      <c r="K2277">
        <v>14300</v>
      </c>
      <c r="L2277">
        <v>10000</v>
      </c>
      <c r="M2277">
        <v>-30.07</v>
      </c>
      <c r="N2277">
        <v>-9.01</v>
      </c>
      <c r="O2277">
        <v>-6.62</v>
      </c>
      <c r="P2277">
        <v>2.62</v>
      </c>
      <c r="Q2277">
        <v>0.92</v>
      </c>
      <c r="R2277">
        <v>-31.27</v>
      </c>
      <c r="S2277">
        <v>17.39</v>
      </c>
      <c r="T2277">
        <v>1.23</v>
      </c>
      <c r="U2277">
        <v>2.73</v>
      </c>
      <c r="V2277">
        <v>3.29</v>
      </c>
      <c r="W2277">
        <v>3.5</v>
      </c>
      <c r="X2277">
        <v>3.39</v>
      </c>
      <c r="Y2277">
        <v>3.2</v>
      </c>
      <c r="Z2277">
        <v>7.33</v>
      </c>
      <c r="AA2277">
        <v>2.42</v>
      </c>
      <c r="AB2277">
        <v>0.8</v>
      </c>
      <c r="AC2277">
        <v>0.26</v>
      </c>
      <c r="AD2277">
        <v>9.2200000000000006</v>
      </c>
      <c r="AE2277">
        <v>5.43</v>
      </c>
      <c r="AF2277">
        <v>4.2433333333333332</v>
      </c>
      <c r="AG2277" t="str">
        <f>HYPERLINK("https://finance.naver.com/item/fchart.naver?code=149950", "아바텍 차트보기")</f>
        <v>아바텍 차트보기</v>
      </c>
    </row>
    <row r="2278" spans="1:33" x14ac:dyDescent="0.3">
      <c r="A2278" t="s">
        <v>9139</v>
      </c>
      <c r="B2278" t="s">
        <v>55</v>
      </c>
      <c r="C2278" t="s">
        <v>9140</v>
      </c>
      <c r="D2278">
        <v>26015.19</v>
      </c>
      <c r="E2278" t="s">
        <v>9141</v>
      </c>
      <c r="F2278">
        <v>6.74</v>
      </c>
      <c r="G2278">
        <v>0.62999999523162842</v>
      </c>
      <c r="H2278">
        <v>951</v>
      </c>
      <c r="I2278">
        <v>2.339999914169312</v>
      </c>
      <c r="J2278" t="s">
        <v>9142</v>
      </c>
      <c r="K2278">
        <v>7400</v>
      </c>
      <c r="L2278">
        <v>6410</v>
      </c>
      <c r="M2278">
        <v>-13.38</v>
      </c>
      <c r="N2278">
        <v>-3.61</v>
      </c>
      <c r="O2278">
        <v>-8.44</v>
      </c>
      <c r="P2278">
        <v>7.32</v>
      </c>
      <c r="Q2278">
        <v>-0.44</v>
      </c>
      <c r="R2278">
        <v>-7.13</v>
      </c>
      <c r="S2278">
        <v>-11.76</v>
      </c>
      <c r="T2278">
        <v>2.65</v>
      </c>
      <c r="U2278">
        <v>1.06</v>
      </c>
      <c r="V2278">
        <v>1.77</v>
      </c>
      <c r="W2278">
        <v>4.34</v>
      </c>
      <c r="X2278">
        <v>1.1299999999999999</v>
      </c>
      <c r="Y2278">
        <v>2.1</v>
      </c>
      <c r="Z2278">
        <v>1.36</v>
      </c>
      <c r="AA2278">
        <v>7.96</v>
      </c>
      <c r="AB2278">
        <v>4.1399999999999997</v>
      </c>
      <c r="AC2278">
        <v>0.1</v>
      </c>
      <c r="AD2278">
        <v>6.31</v>
      </c>
      <c r="AE2278">
        <v>5.6</v>
      </c>
      <c r="AF2278">
        <v>4.2450000000000001</v>
      </c>
      <c r="AG2278" t="str">
        <f>HYPERLINK("https://finance.naver.com/item/fchart.naver?code=041930", "동아화성 차트보기")</f>
        <v>동아화성 차트보기</v>
      </c>
    </row>
    <row r="2279" spans="1:33" x14ac:dyDescent="0.3">
      <c r="A2279" t="s">
        <v>9143</v>
      </c>
      <c r="B2279" t="s">
        <v>55</v>
      </c>
      <c r="C2279" t="s">
        <v>9144</v>
      </c>
      <c r="D2279">
        <v>33566.9</v>
      </c>
      <c r="E2279" t="s">
        <v>9145</v>
      </c>
      <c r="F2279">
        <v>14.95</v>
      </c>
      <c r="G2279">
        <v>0.5</v>
      </c>
      <c r="H2279">
        <v>370</v>
      </c>
      <c r="I2279">
        <v>3.619999885559082</v>
      </c>
      <c r="J2279" t="s">
        <v>9146</v>
      </c>
      <c r="K2279">
        <v>7440</v>
      </c>
      <c r="L2279">
        <v>5530</v>
      </c>
      <c r="M2279">
        <v>-25.67</v>
      </c>
      <c r="N2279">
        <v>-2.98</v>
      </c>
      <c r="O2279">
        <v>12.31</v>
      </c>
      <c r="P2279">
        <v>-1.1599999999999999</v>
      </c>
      <c r="Q2279">
        <v>-4.68</v>
      </c>
      <c r="R2279">
        <v>-20.45</v>
      </c>
      <c r="S2279">
        <v>8.0399999999999991</v>
      </c>
      <c r="T2279">
        <v>2.91</v>
      </c>
      <c r="U2279">
        <v>2.95</v>
      </c>
      <c r="V2279">
        <v>1.03</v>
      </c>
      <c r="W2279">
        <v>0.83</v>
      </c>
      <c r="X2279">
        <v>1.94</v>
      </c>
      <c r="Y2279">
        <v>2.7</v>
      </c>
      <c r="Z2279">
        <v>1.02</v>
      </c>
      <c r="AA2279">
        <v>4.17</v>
      </c>
      <c r="AB2279">
        <v>1.1299999999999999</v>
      </c>
      <c r="AC2279">
        <v>5.64</v>
      </c>
      <c r="AD2279">
        <v>10.54</v>
      </c>
      <c r="AE2279">
        <v>2.98</v>
      </c>
      <c r="AF2279">
        <v>4.246666666666667</v>
      </c>
      <c r="AG2279" t="str">
        <f>HYPERLINK("https://finance.naver.com/item/fchart.naver?code=079000", "와토스코리아 차트보기")</f>
        <v>와토스코리아 차트보기</v>
      </c>
    </row>
    <row r="2280" spans="1:33" x14ac:dyDescent="0.3">
      <c r="A2280" t="s">
        <v>9147</v>
      </c>
      <c r="B2280" t="s">
        <v>55</v>
      </c>
      <c r="C2280" t="s">
        <v>9148</v>
      </c>
      <c r="D2280">
        <v>28566.05</v>
      </c>
      <c r="E2280" t="s">
        <v>9149</v>
      </c>
      <c r="F2280">
        <v>45.79</v>
      </c>
      <c r="G2280">
        <v>0.43999999761581421</v>
      </c>
      <c r="H2280">
        <v>145</v>
      </c>
      <c r="I2280">
        <v>0</v>
      </c>
      <c r="J2280" t="s">
        <v>9150</v>
      </c>
      <c r="K2280">
        <v>8910</v>
      </c>
      <c r="L2280">
        <v>6640</v>
      </c>
      <c r="M2280">
        <v>-25.48</v>
      </c>
      <c r="N2280">
        <v>-2.78</v>
      </c>
      <c r="O2280">
        <v>1.49</v>
      </c>
      <c r="P2280">
        <v>-6.65</v>
      </c>
      <c r="Q2280">
        <v>-7.77</v>
      </c>
      <c r="R2280">
        <v>-9.07</v>
      </c>
      <c r="S2280">
        <v>-4.41</v>
      </c>
      <c r="T2280">
        <v>0.83</v>
      </c>
      <c r="U2280">
        <v>1.63</v>
      </c>
      <c r="V2280">
        <v>1.44</v>
      </c>
      <c r="W2280">
        <v>3.74</v>
      </c>
      <c r="X2280">
        <v>0.97</v>
      </c>
      <c r="Y2280">
        <v>0.85</v>
      </c>
      <c r="Z2280">
        <v>3.35</v>
      </c>
      <c r="AA2280">
        <v>0.91</v>
      </c>
      <c r="AB2280">
        <v>4.62</v>
      </c>
      <c r="AC2280">
        <v>2.08</v>
      </c>
      <c r="AD2280">
        <v>9.35</v>
      </c>
      <c r="AE2280">
        <v>5.19</v>
      </c>
      <c r="AF2280">
        <v>4.25</v>
      </c>
      <c r="AG2280" t="str">
        <f>HYPERLINK("https://finance.naver.com/item/fchart.naver?code=141000", "비아트론 차트보기")</f>
        <v>비아트론 차트보기</v>
      </c>
    </row>
    <row r="2281" spans="1:33" x14ac:dyDescent="0.3">
      <c r="A2281" t="s">
        <v>9151</v>
      </c>
      <c r="B2281" t="s">
        <v>55</v>
      </c>
      <c r="C2281" t="s">
        <v>9152</v>
      </c>
      <c r="D2281">
        <v>584897.94999999995</v>
      </c>
      <c r="E2281" t="s">
        <v>9153</v>
      </c>
      <c r="F2281">
        <v>18.78</v>
      </c>
      <c r="G2281">
        <v>2.380000114440918</v>
      </c>
      <c r="H2281">
        <v>384</v>
      </c>
      <c r="I2281">
        <v>1.110000014305115</v>
      </c>
      <c r="J2281" t="s">
        <v>9154</v>
      </c>
      <c r="K2281">
        <v>5080</v>
      </c>
      <c r="L2281">
        <v>7210</v>
      </c>
      <c r="M2281">
        <v>41.93</v>
      </c>
      <c r="N2281">
        <v>-9.5399999999999991</v>
      </c>
      <c r="O2281">
        <v>-33.409999999999997</v>
      </c>
      <c r="P2281">
        <v>15.83</v>
      </c>
      <c r="Q2281">
        <v>34.28</v>
      </c>
      <c r="R2281">
        <v>18.71</v>
      </c>
      <c r="S2281">
        <v>20.239999999999998</v>
      </c>
      <c r="T2281">
        <v>3.93</v>
      </c>
      <c r="U2281">
        <v>3.61</v>
      </c>
      <c r="V2281">
        <v>6.27</v>
      </c>
      <c r="W2281">
        <v>9.27</v>
      </c>
      <c r="X2281">
        <v>7.34</v>
      </c>
      <c r="Y2281">
        <v>4.01</v>
      </c>
      <c r="Z2281">
        <v>2.4300000000000002</v>
      </c>
      <c r="AA2281">
        <v>9.25</v>
      </c>
      <c r="AB2281">
        <v>2.52</v>
      </c>
      <c r="AC2281">
        <v>3.7</v>
      </c>
      <c r="AD2281">
        <v>2.5499999999999998</v>
      </c>
      <c r="AE2281">
        <v>5.05</v>
      </c>
      <c r="AF2281">
        <v>4.25</v>
      </c>
      <c r="AG2281" t="str">
        <f>HYPERLINK("https://finance.naver.com/item/fchart.naver?code=337930", "브랜드엑스코퍼레이션 차트보기")</f>
        <v>브랜드엑스코퍼레이션 차트보기</v>
      </c>
    </row>
    <row r="2282" spans="1:33" x14ac:dyDescent="0.3">
      <c r="A2282" t="s">
        <v>9155</v>
      </c>
      <c r="B2282" t="s">
        <v>55</v>
      </c>
      <c r="C2282" t="s">
        <v>9156</v>
      </c>
      <c r="D2282">
        <v>2286756.9</v>
      </c>
      <c r="E2282" t="s">
        <v>9157</v>
      </c>
      <c r="F2282">
        <v>3.39</v>
      </c>
      <c r="G2282">
        <v>0.25</v>
      </c>
      <c r="H2282">
        <v>1087</v>
      </c>
      <c r="I2282">
        <v>0</v>
      </c>
      <c r="J2282" t="s">
        <v>9158</v>
      </c>
      <c r="K2282">
        <v>4100</v>
      </c>
      <c r="L2282">
        <v>3680</v>
      </c>
      <c r="M2282">
        <v>-10.24</v>
      </c>
      <c r="N2282">
        <v>-27.56</v>
      </c>
      <c r="O2282">
        <v>77.63</v>
      </c>
      <c r="P2282">
        <v>-2.87</v>
      </c>
      <c r="Q2282">
        <v>0.66</v>
      </c>
      <c r="R2282">
        <v>-10.39</v>
      </c>
      <c r="S2282">
        <v>-13.43</v>
      </c>
      <c r="T2282">
        <v>4.93</v>
      </c>
      <c r="U2282">
        <v>12.17</v>
      </c>
      <c r="V2282">
        <v>3.42</v>
      </c>
      <c r="W2282">
        <v>4.49</v>
      </c>
      <c r="X2282">
        <v>2.2999999999999998</v>
      </c>
      <c r="Y2282">
        <v>1.67</v>
      </c>
      <c r="Z2282">
        <v>5.59</v>
      </c>
      <c r="AA2282">
        <v>6.38</v>
      </c>
      <c r="AB2282">
        <v>0.84</v>
      </c>
      <c r="AC2282">
        <v>0.15</v>
      </c>
      <c r="AD2282">
        <v>4.5199999999999996</v>
      </c>
      <c r="AE2282">
        <v>8.0399999999999991</v>
      </c>
      <c r="AF2282">
        <v>4.253333333333333</v>
      </c>
      <c r="AG2282" t="str">
        <f>HYPERLINK("https://finance.naver.com/item/fchart.naver?code=089140", "넥스턴바이오 차트보기")</f>
        <v>넥스턴바이오 차트보기</v>
      </c>
    </row>
    <row r="2283" spans="1:33" x14ac:dyDescent="0.3">
      <c r="A2283" t="s">
        <v>9159</v>
      </c>
      <c r="B2283" t="s">
        <v>55</v>
      </c>
      <c r="C2283" t="s">
        <v>9160</v>
      </c>
      <c r="D2283">
        <v>27550.05</v>
      </c>
      <c r="E2283" t="s">
        <v>9161</v>
      </c>
      <c r="F2283">
        <v>11.89</v>
      </c>
      <c r="G2283">
        <v>0.64999997615814209</v>
      </c>
      <c r="H2283">
        <v>330</v>
      </c>
      <c r="I2283">
        <v>1.1499999761581421</v>
      </c>
      <c r="J2283" t="s">
        <v>9162</v>
      </c>
      <c r="K2283">
        <v>4680</v>
      </c>
      <c r="L2283">
        <v>3925</v>
      </c>
      <c r="M2283">
        <v>-16.13</v>
      </c>
      <c r="N2283">
        <v>-3.68</v>
      </c>
      <c r="O2283">
        <v>-4.57</v>
      </c>
      <c r="P2283">
        <v>-1.77</v>
      </c>
      <c r="Q2283">
        <v>12.14</v>
      </c>
      <c r="R2283">
        <v>-11.5</v>
      </c>
      <c r="S2283">
        <v>-5.9</v>
      </c>
      <c r="T2283">
        <v>1.63</v>
      </c>
      <c r="U2283">
        <v>2.69</v>
      </c>
      <c r="V2283">
        <v>1.82</v>
      </c>
      <c r="W2283">
        <v>5.59</v>
      </c>
      <c r="X2283">
        <v>1.05</v>
      </c>
      <c r="Y2283">
        <v>0.79</v>
      </c>
      <c r="Z2283">
        <v>2.2599999999999998</v>
      </c>
      <c r="AA2283">
        <v>1.7</v>
      </c>
      <c r="AB2283">
        <v>0.97</v>
      </c>
      <c r="AC2283">
        <v>2.17</v>
      </c>
      <c r="AD2283">
        <v>10.95</v>
      </c>
      <c r="AE2283">
        <v>7.47</v>
      </c>
      <c r="AF2283">
        <v>4.253333333333333</v>
      </c>
      <c r="AG2283" t="str">
        <f>HYPERLINK("https://finance.naver.com/item/fchart.naver?code=011320", "유니크 차트보기")</f>
        <v>유니크 차트보기</v>
      </c>
    </row>
    <row r="2284" spans="1:33" x14ac:dyDescent="0.3">
      <c r="A2284" t="s">
        <v>9163</v>
      </c>
      <c r="B2284" t="s">
        <v>55</v>
      </c>
      <c r="C2284" t="s">
        <v>9164</v>
      </c>
      <c r="D2284">
        <v>81406.81</v>
      </c>
      <c r="E2284" t="s">
        <v>9165</v>
      </c>
      <c r="F2284">
        <v>0</v>
      </c>
      <c r="G2284">
        <v>0.46000000834465032</v>
      </c>
      <c r="H2284">
        <v>0</v>
      </c>
      <c r="I2284">
        <v>0</v>
      </c>
      <c r="J2284" t="s">
        <v>9166</v>
      </c>
      <c r="K2284">
        <v>761</v>
      </c>
      <c r="L2284">
        <v>447</v>
      </c>
      <c r="M2284">
        <v>-41.26</v>
      </c>
      <c r="N2284">
        <v>1.59</v>
      </c>
      <c r="O2284">
        <v>-6.95</v>
      </c>
      <c r="P2284">
        <v>-4</v>
      </c>
      <c r="Q2284">
        <v>-3.67</v>
      </c>
      <c r="R2284">
        <v>-4.3</v>
      </c>
      <c r="S2284">
        <v>-23.05</v>
      </c>
      <c r="T2284">
        <v>1.58</v>
      </c>
      <c r="U2284">
        <v>1.28</v>
      </c>
      <c r="V2284">
        <v>1.6</v>
      </c>
      <c r="W2284">
        <v>2.84</v>
      </c>
      <c r="X2284">
        <v>2.11</v>
      </c>
      <c r="Y2284">
        <v>1.74</v>
      </c>
      <c r="Z2284">
        <v>1.01</v>
      </c>
      <c r="AA2284">
        <v>5.43</v>
      </c>
      <c r="AB2284">
        <v>2.5</v>
      </c>
      <c r="AC2284">
        <v>1.29</v>
      </c>
      <c r="AD2284">
        <v>2.04</v>
      </c>
      <c r="AE2284">
        <v>13.25</v>
      </c>
      <c r="AF2284">
        <v>4.253333333333333</v>
      </c>
      <c r="AG2284" t="str">
        <f>HYPERLINK("https://finance.naver.com/item/fchart.naver?code=208710", "바이오로그디바이스 차트보기")</f>
        <v>바이오로그디바이스 차트보기</v>
      </c>
    </row>
    <row r="2285" spans="1:33" x14ac:dyDescent="0.3">
      <c r="A2285" t="s">
        <v>9167</v>
      </c>
      <c r="B2285" t="s">
        <v>55</v>
      </c>
      <c r="C2285" t="s">
        <v>9168</v>
      </c>
      <c r="D2285">
        <v>236150.86</v>
      </c>
      <c r="E2285" t="s">
        <v>9169</v>
      </c>
      <c r="J2285" t="s">
        <v>9170</v>
      </c>
      <c r="K2285">
        <v>825</v>
      </c>
      <c r="L2285">
        <v>617</v>
      </c>
      <c r="M2285">
        <v>-25.21</v>
      </c>
      <c r="N2285">
        <v>-6.23</v>
      </c>
      <c r="O2285">
        <v>-15.9</v>
      </c>
      <c r="P2285">
        <v>24.35</v>
      </c>
      <c r="Q2285">
        <v>-0.3</v>
      </c>
      <c r="R2285">
        <v>-12.96</v>
      </c>
      <c r="S2285">
        <v>-5.49</v>
      </c>
      <c r="T2285">
        <v>3.53</v>
      </c>
      <c r="U2285">
        <v>2.84</v>
      </c>
      <c r="V2285">
        <v>4.16</v>
      </c>
      <c r="W2285">
        <v>3.27</v>
      </c>
      <c r="X2285">
        <v>1.72</v>
      </c>
      <c r="Y2285">
        <v>1.17</v>
      </c>
      <c r="Z2285">
        <v>1.76</v>
      </c>
      <c r="AA2285">
        <v>5.6</v>
      </c>
      <c r="AB2285">
        <v>5.85</v>
      </c>
      <c r="AC2285">
        <v>0.09</v>
      </c>
      <c r="AD2285">
        <v>7.53</v>
      </c>
      <c r="AE2285">
        <v>4.6900000000000004</v>
      </c>
      <c r="AF2285">
        <v>4.253333333333333</v>
      </c>
      <c r="AG2285" t="str">
        <f>HYPERLINK("https://finance.naver.com/item/fchart.naver?code=900310", "컬러레이 차트보기")</f>
        <v>컬러레이 차트보기</v>
      </c>
    </row>
    <row r="2286" spans="1:33" x14ac:dyDescent="0.3">
      <c r="A2286" t="s">
        <v>9171</v>
      </c>
      <c r="B2286" t="s">
        <v>34</v>
      </c>
      <c r="C2286" t="s">
        <v>9172</v>
      </c>
      <c r="D2286">
        <v>34927.33</v>
      </c>
      <c r="E2286" t="s">
        <v>9173</v>
      </c>
      <c r="J2286" t="s">
        <v>9174</v>
      </c>
      <c r="K2286">
        <v>4435</v>
      </c>
      <c r="L2286">
        <v>4610</v>
      </c>
      <c r="M2286">
        <v>3.95</v>
      </c>
      <c r="N2286">
        <v>-0.86</v>
      </c>
      <c r="O2286">
        <v>1.76</v>
      </c>
      <c r="P2286">
        <v>1.88</v>
      </c>
      <c r="Q2286">
        <v>-0.33</v>
      </c>
      <c r="R2286">
        <v>3.31</v>
      </c>
      <c r="S2286">
        <v>2.33</v>
      </c>
      <c r="T2286">
        <v>0.43</v>
      </c>
      <c r="U2286">
        <v>0.92</v>
      </c>
      <c r="V2286">
        <v>0.22</v>
      </c>
      <c r="W2286">
        <v>1.24</v>
      </c>
      <c r="X2286">
        <v>0.42</v>
      </c>
      <c r="Y2286">
        <v>0.47</v>
      </c>
      <c r="Z2286">
        <v>2</v>
      </c>
      <c r="AA2286">
        <v>1.91</v>
      </c>
      <c r="AB2286">
        <v>8.5500000000000007</v>
      </c>
      <c r="AC2286">
        <v>0.27</v>
      </c>
      <c r="AD2286">
        <v>7.88</v>
      </c>
      <c r="AE2286">
        <v>4.96</v>
      </c>
      <c r="AF2286">
        <v>4.2616666666666667</v>
      </c>
      <c r="AG2286" t="str">
        <f>HYPERLINK("https://finance.naver.com/item/fchart.naver?code=338100", "NH프라임리츠 차트보기")</f>
        <v>NH프라임리츠 차트보기</v>
      </c>
    </row>
    <row r="2287" spans="1:33" x14ac:dyDescent="0.3">
      <c r="A2287" t="s">
        <v>9175</v>
      </c>
      <c r="B2287" t="s">
        <v>55</v>
      </c>
      <c r="C2287" t="s">
        <v>9176</v>
      </c>
      <c r="D2287">
        <v>25755.62</v>
      </c>
      <c r="E2287" t="s">
        <v>9177</v>
      </c>
      <c r="F2287">
        <v>0</v>
      </c>
      <c r="G2287">
        <v>1.3400000333786011</v>
      </c>
      <c r="H2287">
        <v>0</v>
      </c>
      <c r="I2287">
        <v>0</v>
      </c>
      <c r="J2287" t="s">
        <v>9178</v>
      </c>
      <c r="K2287">
        <v>11840</v>
      </c>
      <c r="L2287">
        <v>7750</v>
      </c>
      <c r="M2287">
        <v>-34.54</v>
      </c>
      <c r="N2287">
        <v>-1.52</v>
      </c>
      <c r="O2287">
        <v>-8.02</v>
      </c>
      <c r="P2287">
        <v>-13.29</v>
      </c>
      <c r="Q2287">
        <v>-11.82</v>
      </c>
      <c r="R2287">
        <v>-15.46</v>
      </c>
      <c r="S2287">
        <v>-16.89</v>
      </c>
      <c r="T2287">
        <v>3</v>
      </c>
      <c r="U2287">
        <v>1.87</v>
      </c>
      <c r="V2287">
        <v>2.99</v>
      </c>
      <c r="W2287">
        <v>4.54</v>
      </c>
      <c r="X2287">
        <v>2.19</v>
      </c>
      <c r="Y2287">
        <v>2.52</v>
      </c>
      <c r="Z2287">
        <v>0.51</v>
      </c>
      <c r="AA2287">
        <v>4.29</v>
      </c>
      <c r="AB2287">
        <v>4.4400000000000004</v>
      </c>
      <c r="AC2287">
        <v>2.6</v>
      </c>
      <c r="AD2287">
        <v>7.06</v>
      </c>
      <c r="AE2287">
        <v>6.7</v>
      </c>
      <c r="AF2287">
        <v>4.2666666666666666</v>
      </c>
      <c r="AG2287" t="str">
        <f>HYPERLINK("https://finance.naver.com/item/fchart.naver?code=351330", "이삭엔지니어링 차트보기")</f>
        <v>이삭엔지니어링 차트보기</v>
      </c>
    </row>
    <row r="2288" spans="1:33" x14ac:dyDescent="0.3">
      <c r="A2288" t="s">
        <v>9179</v>
      </c>
      <c r="B2288" t="s">
        <v>55</v>
      </c>
      <c r="C2288" t="s">
        <v>9180</v>
      </c>
      <c r="D2288">
        <v>51680.57</v>
      </c>
      <c r="E2288" t="s">
        <v>9181</v>
      </c>
      <c r="F2288">
        <v>39.39</v>
      </c>
      <c r="G2288">
        <v>1.799999952316284</v>
      </c>
      <c r="H2288">
        <v>106</v>
      </c>
      <c r="I2288">
        <v>0</v>
      </c>
      <c r="J2288" t="s">
        <v>9182</v>
      </c>
      <c r="K2288">
        <v>6940</v>
      </c>
      <c r="L2288">
        <v>4175</v>
      </c>
      <c r="M2288">
        <v>-39.840000000000003</v>
      </c>
      <c r="N2288">
        <v>-9.44</v>
      </c>
      <c r="O2288">
        <v>-12.2</v>
      </c>
      <c r="P2288">
        <v>-4.26</v>
      </c>
      <c r="Q2288">
        <v>-3.68</v>
      </c>
      <c r="R2288">
        <v>-16.72</v>
      </c>
      <c r="S2288">
        <v>10.33</v>
      </c>
      <c r="T2288">
        <v>3.73</v>
      </c>
      <c r="U2288">
        <v>1.76</v>
      </c>
      <c r="V2288">
        <v>2.69</v>
      </c>
      <c r="W2288">
        <v>5.1100000000000003</v>
      </c>
      <c r="X2288">
        <v>1.84</v>
      </c>
      <c r="Y2288">
        <v>2.16</v>
      </c>
      <c r="Z2288">
        <v>2.5299999999999998</v>
      </c>
      <c r="AA2288">
        <v>6.93</v>
      </c>
      <c r="AB2288">
        <v>1.58</v>
      </c>
      <c r="AC2288">
        <v>0.72</v>
      </c>
      <c r="AD2288">
        <v>9.09</v>
      </c>
      <c r="AE2288">
        <v>4.78</v>
      </c>
      <c r="AF2288">
        <v>4.2716666666666674</v>
      </c>
      <c r="AG2288" t="str">
        <f>HYPERLINK("https://finance.naver.com/item/fchart.naver?code=220260", "켐트로스 차트보기")</f>
        <v>켐트로스 차트보기</v>
      </c>
    </row>
    <row r="2289" spans="1:33" x14ac:dyDescent="0.3">
      <c r="A2289" t="s">
        <v>9183</v>
      </c>
      <c r="B2289" t="s">
        <v>55</v>
      </c>
      <c r="C2289" t="s">
        <v>9184</v>
      </c>
      <c r="D2289">
        <v>6041.62</v>
      </c>
      <c r="E2289" t="s">
        <v>9185</v>
      </c>
      <c r="F2289">
        <v>5.27</v>
      </c>
      <c r="G2289">
        <v>1.059999942779541</v>
      </c>
      <c r="H2289">
        <v>865</v>
      </c>
      <c r="I2289">
        <v>1.1000000238418579</v>
      </c>
      <c r="J2289" t="s">
        <v>9186</v>
      </c>
      <c r="K2289">
        <v>6900</v>
      </c>
      <c r="L2289">
        <v>4555</v>
      </c>
      <c r="M2289">
        <v>-33.99</v>
      </c>
      <c r="N2289">
        <v>1.1100000000000001</v>
      </c>
      <c r="O2289">
        <v>-5.34</v>
      </c>
      <c r="P2289">
        <v>4.4400000000000004</v>
      </c>
      <c r="Q2289">
        <v>-18.07</v>
      </c>
      <c r="R2289">
        <v>-9.26</v>
      </c>
      <c r="S2289">
        <v>-10.84</v>
      </c>
      <c r="T2289">
        <v>2.72</v>
      </c>
      <c r="U2289">
        <v>1.63</v>
      </c>
      <c r="V2289">
        <v>2.58</v>
      </c>
      <c r="W2289">
        <v>2.41</v>
      </c>
      <c r="X2289">
        <v>1.21</v>
      </c>
      <c r="Y2289">
        <v>2.14</v>
      </c>
      <c r="Z2289">
        <v>0.41</v>
      </c>
      <c r="AA2289">
        <v>3.28</v>
      </c>
      <c r="AB2289">
        <v>1.72</v>
      </c>
      <c r="AC2289">
        <v>7.5</v>
      </c>
      <c r="AD2289">
        <v>7.65</v>
      </c>
      <c r="AE2289">
        <v>5.07</v>
      </c>
      <c r="AF2289">
        <v>4.2716666666666674</v>
      </c>
      <c r="AG2289" t="str">
        <f>HYPERLINK("https://finance.naver.com/item/fchart.naver?code=267790", "배럴 차트보기")</f>
        <v>배럴 차트보기</v>
      </c>
    </row>
    <row r="2290" spans="1:33" x14ac:dyDescent="0.3">
      <c r="A2290" t="s">
        <v>9187</v>
      </c>
      <c r="B2290" t="s">
        <v>55</v>
      </c>
      <c r="C2290" t="s">
        <v>9188</v>
      </c>
      <c r="D2290">
        <v>15264531.050000001</v>
      </c>
      <c r="E2290" t="s">
        <v>9189</v>
      </c>
      <c r="J2290" t="s">
        <v>9190</v>
      </c>
      <c r="K2290">
        <v>206</v>
      </c>
      <c r="L2290">
        <v>302</v>
      </c>
      <c r="M2290">
        <v>46.6</v>
      </c>
      <c r="N2290">
        <v>-8.48</v>
      </c>
      <c r="O2290">
        <v>-13.68</v>
      </c>
      <c r="P2290">
        <v>67.52</v>
      </c>
      <c r="Q2290">
        <v>-15.19</v>
      </c>
      <c r="R2290">
        <v>-14.38</v>
      </c>
      <c r="S2290">
        <v>-26.88</v>
      </c>
      <c r="T2290">
        <v>6.59</v>
      </c>
      <c r="U2290">
        <v>6.43</v>
      </c>
      <c r="V2290">
        <v>9.86</v>
      </c>
      <c r="W2290">
        <v>3.32</v>
      </c>
      <c r="X2290">
        <v>2.4</v>
      </c>
      <c r="Y2290">
        <v>5.59</v>
      </c>
      <c r="Z2290">
        <v>1.29</v>
      </c>
      <c r="AA2290">
        <v>2.13</v>
      </c>
      <c r="AB2290">
        <v>6.85</v>
      </c>
      <c r="AC2290">
        <v>4.58</v>
      </c>
      <c r="AD2290">
        <v>5.99</v>
      </c>
      <c r="AE2290">
        <v>4.8099999999999996</v>
      </c>
      <c r="AF2290">
        <v>4.2749999999999986</v>
      </c>
      <c r="AG2290" t="str">
        <f>HYPERLINK("https://finance.naver.com/item/fchart.naver?code=900270", "헝셩그룹 차트보기")</f>
        <v>헝셩그룹 차트보기</v>
      </c>
    </row>
    <row r="2291" spans="1:33" x14ac:dyDescent="0.3">
      <c r="A2291" t="s">
        <v>9191</v>
      </c>
      <c r="B2291" t="s">
        <v>55</v>
      </c>
      <c r="C2291" t="s">
        <v>9192</v>
      </c>
      <c r="D2291">
        <v>19538.71</v>
      </c>
      <c r="E2291" t="s">
        <v>9193</v>
      </c>
      <c r="F2291">
        <v>0</v>
      </c>
      <c r="G2291">
        <v>0.62999999523162842</v>
      </c>
      <c r="H2291">
        <v>0</v>
      </c>
      <c r="I2291">
        <v>0.5</v>
      </c>
      <c r="J2291" t="s">
        <v>9194</v>
      </c>
      <c r="K2291">
        <v>3590</v>
      </c>
      <c r="L2291">
        <v>4000</v>
      </c>
      <c r="M2291">
        <v>11.42</v>
      </c>
      <c r="N2291">
        <v>-2.2000000000000002</v>
      </c>
      <c r="O2291">
        <v>8.2200000000000006</v>
      </c>
      <c r="P2291">
        <v>22.01</v>
      </c>
      <c r="Q2291">
        <v>-18.899999999999999</v>
      </c>
      <c r="R2291">
        <v>7.81</v>
      </c>
      <c r="S2291">
        <v>-3.35</v>
      </c>
      <c r="T2291">
        <v>1.1000000000000001</v>
      </c>
      <c r="U2291">
        <v>2.1</v>
      </c>
      <c r="V2291">
        <v>2.13</v>
      </c>
      <c r="W2291">
        <v>5.37</v>
      </c>
      <c r="X2291">
        <v>1.67</v>
      </c>
      <c r="Y2291">
        <v>2.74</v>
      </c>
      <c r="Z2291">
        <v>2</v>
      </c>
      <c r="AA2291">
        <v>3.91</v>
      </c>
      <c r="AB2291">
        <v>10.33</v>
      </c>
      <c r="AC2291">
        <v>3.52</v>
      </c>
      <c r="AD2291">
        <v>4.68</v>
      </c>
      <c r="AE2291">
        <v>1.22</v>
      </c>
      <c r="AF2291">
        <v>4.2766666666666664</v>
      </c>
      <c r="AG2291" t="str">
        <f>HYPERLINK("https://finance.naver.com/item/fchart.naver?code=053350", "이니텍 차트보기")</f>
        <v>이니텍 차트보기</v>
      </c>
    </row>
    <row r="2292" spans="1:33" x14ac:dyDescent="0.3">
      <c r="A2292" t="s">
        <v>9195</v>
      </c>
      <c r="B2292" t="s">
        <v>34</v>
      </c>
      <c r="C2292" t="s">
        <v>9196</v>
      </c>
      <c r="D2292">
        <v>270783.86</v>
      </c>
      <c r="E2292" t="s">
        <v>9197</v>
      </c>
      <c r="F2292">
        <v>61.85</v>
      </c>
      <c r="G2292">
        <v>1.379999995231628</v>
      </c>
      <c r="H2292">
        <v>3135</v>
      </c>
      <c r="I2292">
        <v>0</v>
      </c>
      <c r="J2292" t="s">
        <v>9198</v>
      </c>
      <c r="K2292">
        <v>137700</v>
      </c>
      <c r="L2292">
        <v>193900</v>
      </c>
      <c r="M2292">
        <v>40.81</v>
      </c>
      <c r="N2292">
        <v>7.72</v>
      </c>
      <c r="O2292">
        <v>0.05</v>
      </c>
      <c r="P2292">
        <v>3.99</v>
      </c>
      <c r="Q2292">
        <v>-10.14</v>
      </c>
      <c r="R2292">
        <v>29.46</v>
      </c>
      <c r="S2292">
        <v>19.579999999999998</v>
      </c>
      <c r="T2292">
        <v>2.67</v>
      </c>
      <c r="U2292">
        <v>2.11</v>
      </c>
      <c r="V2292">
        <v>3.47</v>
      </c>
      <c r="W2292">
        <v>4.76</v>
      </c>
      <c r="X2292">
        <v>2.88</v>
      </c>
      <c r="Y2292">
        <v>2.12</v>
      </c>
      <c r="Z2292">
        <v>2.89</v>
      </c>
      <c r="AA2292">
        <v>0.02</v>
      </c>
      <c r="AB2292">
        <v>1.1499999999999999</v>
      </c>
      <c r="AC2292">
        <v>2.13</v>
      </c>
      <c r="AD2292">
        <v>10.23</v>
      </c>
      <c r="AE2292">
        <v>9.24</v>
      </c>
      <c r="AF2292">
        <v>4.2766666666666673</v>
      </c>
      <c r="AG2292" t="str">
        <f>HYPERLINK("https://finance.naver.com/item/fchart.naver?code=009540", "HD한국조선해양 차트보기")</f>
        <v>HD한국조선해양 차트보기</v>
      </c>
    </row>
    <row r="2293" spans="1:33" x14ac:dyDescent="0.3">
      <c r="A2293" t="s">
        <v>9199</v>
      </c>
      <c r="B2293" t="s">
        <v>34</v>
      </c>
      <c r="C2293" t="s">
        <v>9200</v>
      </c>
      <c r="D2293">
        <v>442804.76</v>
      </c>
      <c r="E2293" t="s">
        <v>9201</v>
      </c>
      <c r="F2293">
        <v>0</v>
      </c>
      <c r="G2293">
        <v>0.1800000071525574</v>
      </c>
      <c r="H2293">
        <v>0</v>
      </c>
      <c r="I2293">
        <v>0</v>
      </c>
      <c r="J2293" t="s">
        <v>9202</v>
      </c>
      <c r="K2293">
        <v>3800</v>
      </c>
      <c r="L2293">
        <v>3250</v>
      </c>
      <c r="M2293">
        <v>-14.47</v>
      </c>
      <c r="N2293">
        <v>-5.1100000000000003</v>
      </c>
      <c r="O2293">
        <v>-1.55</v>
      </c>
      <c r="P2293">
        <v>-5.79</v>
      </c>
      <c r="Q2293">
        <v>-2.81</v>
      </c>
      <c r="R2293">
        <v>12.9</v>
      </c>
      <c r="S2293">
        <v>-4.41</v>
      </c>
      <c r="T2293">
        <v>0.96</v>
      </c>
      <c r="U2293">
        <v>2.2799999999999998</v>
      </c>
      <c r="V2293">
        <v>1.33</v>
      </c>
      <c r="W2293">
        <v>1.82</v>
      </c>
      <c r="X2293">
        <v>1.51</v>
      </c>
      <c r="Y2293">
        <v>0.84</v>
      </c>
      <c r="Z2293">
        <v>5.32</v>
      </c>
      <c r="AA2293">
        <v>0.68</v>
      </c>
      <c r="AB2293">
        <v>4.3499999999999996</v>
      </c>
      <c r="AC2293">
        <v>1.54</v>
      </c>
      <c r="AD2293">
        <v>8.5399999999999991</v>
      </c>
      <c r="AE2293">
        <v>5.25</v>
      </c>
      <c r="AF2293">
        <v>4.28</v>
      </c>
      <c r="AG2293" t="str">
        <f>HYPERLINK("https://finance.naver.com/item/fchart.naver?code=363280", "티와이홀딩스 차트보기")</f>
        <v>티와이홀딩스 차트보기</v>
      </c>
    </row>
    <row r="2294" spans="1:33" x14ac:dyDescent="0.3">
      <c r="A2294" t="s">
        <v>9203</v>
      </c>
      <c r="B2294" t="s">
        <v>34</v>
      </c>
      <c r="C2294" t="s">
        <v>9204</v>
      </c>
      <c r="D2294">
        <v>39468.33</v>
      </c>
      <c r="E2294" t="s">
        <v>9205</v>
      </c>
      <c r="F2294">
        <v>8.67</v>
      </c>
      <c r="G2294">
        <v>0.52999997138977051</v>
      </c>
      <c r="H2294">
        <v>588</v>
      </c>
      <c r="I2294">
        <v>1.9600000381469731</v>
      </c>
      <c r="J2294" t="s">
        <v>9206</v>
      </c>
      <c r="K2294">
        <v>4770</v>
      </c>
      <c r="L2294">
        <v>5100</v>
      </c>
      <c r="M2294">
        <v>6.92</v>
      </c>
      <c r="N2294">
        <v>-5.56</v>
      </c>
      <c r="O2294">
        <v>-1.07</v>
      </c>
      <c r="P2294">
        <v>-9.64</v>
      </c>
      <c r="Q2294">
        <v>9.74</v>
      </c>
      <c r="R2294">
        <v>-15.15</v>
      </c>
      <c r="S2294">
        <v>32.81</v>
      </c>
      <c r="T2294">
        <v>2.5299999999999998</v>
      </c>
      <c r="U2294">
        <v>2.23</v>
      </c>
      <c r="V2294">
        <v>1.66</v>
      </c>
      <c r="W2294">
        <v>4.46</v>
      </c>
      <c r="X2294">
        <v>3.12</v>
      </c>
      <c r="Y2294">
        <v>3.23</v>
      </c>
      <c r="Z2294">
        <v>2.2000000000000002</v>
      </c>
      <c r="AA2294">
        <v>0.48</v>
      </c>
      <c r="AB2294">
        <v>5.81</v>
      </c>
      <c r="AC2294">
        <v>2.1800000000000002</v>
      </c>
      <c r="AD2294">
        <v>4.8600000000000003</v>
      </c>
      <c r="AE2294">
        <v>10.16</v>
      </c>
      <c r="AF2294">
        <v>4.2816666666666672</v>
      </c>
      <c r="AG2294" t="str">
        <f>HYPERLINK("https://finance.naver.com/item/fchart.naver?code=092780", "동양피스톤 차트보기")</f>
        <v>동양피스톤 차트보기</v>
      </c>
    </row>
    <row r="2295" spans="1:33" x14ac:dyDescent="0.3">
      <c r="A2295" t="s">
        <v>9207</v>
      </c>
      <c r="B2295" t="s">
        <v>55</v>
      </c>
      <c r="C2295" t="s">
        <v>9208</v>
      </c>
      <c r="D2295">
        <v>46990.52</v>
      </c>
      <c r="E2295" t="s">
        <v>9209</v>
      </c>
      <c r="F2295">
        <v>109.82</v>
      </c>
      <c r="G2295">
        <v>0.8399999737739563</v>
      </c>
      <c r="H2295">
        <v>112</v>
      </c>
      <c r="I2295">
        <v>0</v>
      </c>
      <c r="J2295" t="s">
        <v>9210</v>
      </c>
      <c r="K2295">
        <v>54300</v>
      </c>
      <c r="L2295">
        <v>12300</v>
      </c>
      <c r="M2295">
        <v>-77.349999999999994</v>
      </c>
      <c r="N2295">
        <v>-1.05</v>
      </c>
      <c r="O2295">
        <v>-10.29</v>
      </c>
      <c r="P2295">
        <v>-12.36</v>
      </c>
      <c r="Q2295">
        <v>2.75</v>
      </c>
      <c r="R2295">
        <v>-32.1</v>
      </c>
      <c r="S2295">
        <v>-34.090000000000003</v>
      </c>
      <c r="T2295">
        <v>3.11</v>
      </c>
      <c r="U2295">
        <v>1.98</v>
      </c>
      <c r="V2295">
        <v>4.16</v>
      </c>
      <c r="W2295">
        <v>7.69</v>
      </c>
      <c r="X2295">
        <v>2.44</v>
      </c>
      <c r="Y2295">
        <v>9.2899999999999991</v>
      </c>
      <c r="Z2295">
        <v>0.34</v>
      </c>
      <c r="AA2295">
        <v>5.2</v>
      </c>
      <c r="AB2295">
        <v>2.97</v>
      </c>
      <c r="AC2295">
        <v>0.36</v>
      </c>
      <c r="AD2295">
        <v>13.16</v>
      </c>
      <c r="AE2295">
        <v>3.67</v>
      </c>
      <c r="AF2295">
        <v>4.2833333333333341</v>
      </c>
      <c r="AG2295" t="str">
        <f>HYPERLINK("https://finance.naver.com/item/fchart.naver?code=145170", "노브랜드 차트보기")</f>
        <v>노브랜드 차트보기</v>
      </c>
    </row>
    <row r="2296" spans="1:33" x14ac:dyDescent="0.3">
      <c r="A2296" t="s">
        <v>9211</v>
      </c>
      <c r="B2296" t="s">
        <v>55</v>
      </c>
      <c r="C2296" t="s">
        <v>9212</v>
      </c>
      <c r="D2296">
        <v>1120639.1399999999</v>
      </c>
      <c r="E2296" t="s">
        <v>9213</v>
      </c>
      <c r="F2296">
        <v>0</v>
      </c>
      <c r="G2296">
        <v>3.4500000476837158</v>
      </c>
      <c r="H2296">
        <v>0</v>
      </c>
      <c r="I2296">
        <v>0</v>
      </c>
      <c r="J2296" t="s">
        <v>9214</v>
      </c>
      <c r="K2296">
        <v>6320</v>
      </c>
      <c r="L2296">
        <v>3805</v>
      </c>
      <c r="M2296">
        <v>-39.79</v>
      </c>
      <c r="N2296">
        <v>-3.18</v>
      </c>
      <c r="O2296">
        <v>-12.93</v>
      </c>
      <c r="P2296">
        <v>-23.08</v>
      </c>
      <c r="Q2296">
        <v>41.44</v>
      </c>
      <c r="R2296">
        <v>-17.66</v>
      </c>
      <c r="S2296">
        <v>-15.43</v>
      </c>
      <c r="T2296">
        <v>2.71</v>
      </c>
      <c r="U2296">
        <v>4.5599999999999996</v>
      </c>
      <c r="V2296">
        <v>3.91</v>
      </c>
      <c r="W2296">
        <v>9.7799999999999994</v>
      </c>
      <c r="X2296">
        <v>2.29</v>
      </c>
      <c r="Y2296">
        <v>3.99</v>
      </c>
      <c r="Z2296">
        <v>1.17</v>
      </c>
      <c r="AA2296">
        <v>2.84</v>
      </c>
      <c r="AB2296">
        <v>5.9</v>
      </c>
      <c r="AC2296">
        <v>4.24</v>
      </c>
      <c r="AD2296">
        <v>7.71</v>
      </c>
      <c r="AE2296">
        <v>3.87</v>
      </c>
      <c r="AF2296">
        <v>4.2883333333333331</v>
      </c>
      <c r="AG2296" t="str">
        <f>HYPERLINK("https://finance.naver.com/item/fchart.naver?code=452190", "한빛레이저 차트보기")</f>
        <v>한빛레이저 차트보기</v>
      </c>
    </row>
    <row r="2297" spans="1:33" x14ac:dyDescent="0.3">
      <c r="A2297" t="s">
        <v>9215</v>
      </c>
      <c r="B2297" t="s">
        <v>34</v>
      </c>
      <c r="C2297" t="s">
        <v>9216</v>
      </c>
      <c r="D2297">
        <v>230736.71</v>
      </c>
      <c r="E2297" t="s">
        <v>9217</v>
      </c>
      <c r="F2297">
        <v>7.63</v>
      </c>
      <c r="G2297">
        <v>0.62999999523162842</v>
      </c>
      <c r="H2297">
        <v>6130</v>
      </c>
      <c r="I2297">
        <v>4.7100000381469727</v>
      </c>
      <c r="J2297" t="s">
        <v>9218</v>
      </c>
      <c r="K2297">
        <v>38800</v>
      </c>
      <c r="L2297">
        <v>46750</v>
      </c>
      <c r="M2297">
        <v>20.49</v>
      </c>
      <c r="N2297">
        <v>1.74</v>
      </c>
      <c r="O2297">
        <v>5.52</v>
      </c>
      <c r="P2297">
        <v>-7.54</v>
      </c>
      <c r="Q2297">
        <v>3.5</v>
      </c>
      <c r="R2297">
        <v>13.29</v>
      </c>
      <c r="S2297">
        <v>8.74</v>
      </c>
      <c r="T2297">
        <v>1.0900000000000001</v>
      </c>
      <c r="U2297">
        <v>1.1599999999999999</v>
      </c>
      <c r="V2297">
        <v>2.23</v>
      </c>
      <c r="W2297">
        <v>2.69</v>
      </c>
      <c r="X2297">
        <v>1.62</v>
      </c>
      <c r="Y2297">
        <v>1.34</v>
      </c>
      <c r="Z2297">
        <v>1.6</v>
      </c>
      <c r="AA2297">
        <v>4.76</v>
      </c>
      <c r="AB2297">
        <v>3.38</v>
      </c>
      <c r="AC2297">
        <v>1.3</v>
      </c>
      <c r="AD2297">
        <v>8.1999999999999993</v>
      </c>
      <c r="AE2297">
        <v>6.52</v>
      </c>
      <c r="AF2297">
        <v>4.293333333333333</v>
      </c>
      <c r="AG2297" t="str">
        <f>HYPERLINK("https://finance.naver.com/item/fchart.naver?code=016360", "삼성증권 차트보기")</f>
        <v>삼성증권 차트보기</v>
      </c>
    </row>
    <row r="2298" spans="1:33" x14ac:dyDescent="0.3">
      <c r="A2298" t="s">
        <v>9219</v>
      </c>
      <c r="B2298" t="s">
        <v>34</v>
      </c>
      <c r="C2298" t="s">
        <v>9220</v>
      </c>
      <c r="D2298">
        <v>241272.14</v>
      </c>
      <c r="E2298" t="s">
        <v>9221</v>
      </c>
      <c r="F2298">
        <v>762.59</v>
      </c>
      <c r="G2298">
        <v>3.6099998950958252</v>
      </c>
      <c r="H2298">
        <v>278</v>
      </c>
      <c r="I2298">
        <v>0</v>
      </c>
      <c r="J2298" t="s">
        <v>9222</v>
      </c>
      <c r="K2298">
        <v>140500</v>
      </c>
      <c r="L2298">
        <v>212000</v>
      </c>
      <c r="M2298">
        <v>50.89</v>
      </c>
      <c r="N2298">
        <v>21.7</v>
      </c>
      <c r="O2298">
        <v>-0.27</v>
      </c>
      <c r="P2298">
        <v>-0.49</v>
      </c>
      <c r="Q2298">
        <v>-9.44</v>
      </c>
      <c r="R2298">
        <v>36.04</v>
      </c>
      <c r="S2298">
        <v>18.13</v>
      </c>
      <c r="T2298">
        <v>6.43</v>
      </c>
      <c r="U2298">
        <v>2.56</v>
      </c>
      <c r="V2298">
        <v>2.8</v>
      </c>
      <c r="W2298">
        <v>4.04</v>
      </c>
      <c r="X2298">
        <v>3.91</v>
      </c>
      <c r="Y2298">
        <v>1.72</v>
      </c>
      <c r="Z2298">
        <v>3.37</v>
      </c>
      <c r="AA2298">
        <v>0.11</v>
      </c>
      <c r="AB2298">
        <v>0.18</v>
      </c>
      <c r="AC2298">
        <v>2.34</v>
      </c>
      <c r="AD2298">
        <v>9.2200000000000006</v>
      </c>
      <c r="AE2298">
        <v>10.54</v>
      </c>
      <c r="AF2298">
        <v>4.293333333333333</v>
      </c>
      <c r="AG2298" t="str">
        <f>HYPERLINK("https://finance.naver.com/item/fchart.naver?code=329180", "HD현대중공업 차트보기")</f>
        <v>HD현대중공업 차트보기</v>
      </c>
    </row>
    <row r="2299" spans="1:33" x14ac:dyDescent="0.3">
      <c r="A2299" t="s">
        <v>9223</v>
      </c>
      <c r="B2299" t="s">
        <v>55</v>
      </c>
      <c r="C2299" t="s">
        <v>9224</v>
      </c>
      <c r="D2299">
        <v>26516.33</v>
      </c>
      <c r="E2299" t="s">
        <v>9225</v>
      </c>
      <c r="F2299">
        <v>0</v>
      </c>
      <c r="G2299">
        <v>0.4699999988079071</v>
      </c>
      <c r="H2299">
        <v>0</v>
      </c>
      <c r="I2299">
        <v>0</v>
      </c>
      <c r="J2299" t="s">
        <v>9226</v>
      </c>
      <c r="K2299">
        <v>19090</v>
      </c>
      <c r="L2299">
        <v>9600</v>
      </c>
      <c r="M2299">
        <v>-49.71</v>
      </c>
      <c r="N2299">
        <v>-8.75</v>
      </c>
      <c r="O2299">
        <v>-17.3</v>
      </c>
      <c r="P2299">
        <v>-2.38</v>
      </c>
      <c r="Q2299">
        <v>-23.53</v>
      </c>
      <c r="R2299">
        <v>-21.86</v>
      </c>
      <c r="S2299">
        <v>11.34</v>
      </c>
      <c r="T2299">
        <v>3.04</v>
      </c>
      <c r="U2299">
        <v>3.12</v>
      </c>
      <c r="V2299">
        <v>3.11</v>
      </c>
      <c r="W2299">
        <v>5.91</v>
      </c>
      <c r="X2299">
        <v>2.1</v>
      </c>
      <c r="Y2299">
        <v>5.12</v>
      </c>
      <c r="Z2299">
        <v>2.88</v>
      </c>
      <c r="AA2299">
        <v>5.54</v>
      </c>
      <c r="AB2299">
        <v>0.77</v>
      </c>
      <c r="AC2299">
        <v>3.98</v>
      </c>
      <c r="AD2299">
        <v>10.41</v>
      </c>
      <c r="AE2299">
        <v>2.21</v>
      </c>
      <c r="AF2299">
        <v>4.2983333333333329</v>
      </c>
      <c r="AG2299" t="str">
        <f>HYPERLINK("https://finance.naver.com/item/fchart.naver?code=088390", "이녹스 차트보기")</f>
        <v>이녹스 차트보기</v>
      </c>
    </row>
    <row r="2300" spans="1:33" x14ac:dyDescent="0.3">
      <c r="A2300" t="s">
        <v>9227</v>
      </c>
      <c r="B2300" t="s">
        <v>34</v>
      </c>
      <c r="C2300" t="s">
        <v>9228</v>
      </c>
      <c r="D2300">
        <v>385036.67</v>
      </c>
      <c r="E2300" t="s">
        <v>9229</v>
      </c>
      <c r="F2300">
        <v>0</v>
      </c>
      <c r="G2300">
        <v>0.44999998807907099</v>
      </c>
      <c r="H2300">
        <v>0</v>
      </c>
      <c r="I2300">
        <v>3.279999971389771</v>
      </c>
      <c r="J2300" t="s">
        <v>9230</v>
      </c>
      <c r="K2300">
        <v>1859</v>
      </c>
      <c r="L2300">
        <v>1219</v>
      </c>
      <c r="M2300">
        <v>-34.43</v>
      </c>
      <c r="N2300">
        <v>-0.33</v>
      </c>
      <c r="O2300">
        <v>-8.57</v>
      </c>
      <c r="P2300">
        <v>6.7</v>
      </c>
      <c r="Q2300">
        <v>-18.329999999999998</v>
      </c>
      <c r="R2300">
        <v>-9.9499999999999993</v>
      </c>
      <c r="S2300">
        <v>-12.87</v>
      </c>
      <c r="T2300">
        <v>2.4900000000000002</v>
      </c>
      <c r="U2300">
        <v>1.99</v>
      </c>
      <c r="V2300">
        <v>7.48</v>
      </c>
      <c r="W2300">
        <v>5.1100000000000003</v>
      </c>
      <c r="X2300">
        <v>1.64</v>
      </c>
      <c r="Y2300">
        <v>1.19</v>
      </c>
      <c r="Z2300">
        <v>0.13</v>
      </c>
      <c r="AA2300">
        <v>4.3099999999999996</v>
      </c>
      <c r="AB2300">
        <v>0.9</v>
      </c>
      <c r="AC2300">
        <v>3.59</v>
      </c>
      <c r="AD2300">
        <v>6.07</v>
      </c>
      <c r="AE2300">
        <v>10.82</v>
      </c>
      <c r="AF2300">
        <v>4.3033333333333337</v>
      </c>
      <c r="AG2300" t="str">
        <f>HYPERLINK("https://finance.naver.com/item/fchart.naver?code=006740", "영풍제지 차트보기")</f>
        <v>영풍제지 차트보기</v>
      </c>
    </row>
    <row r="2301" spans="1:33" x14ac:dyDescent="0.3">
      <c r="A2301" t="s">
        <v>9231</v>
      </c>
      <c r="B2301" t="s">
        <v>55</v>
      </c>
      <c r="C2301" t="s">
        <v>9232</v>
      </c>
      <c r="D2301">
        <v>35038.76</v>
      </c>
      <c r="E2301" t="s">
        <v>9233</v>
      </c>
      <c r="F2301">
        <v>5.78</v>
      </c>
      <c r="G2301">
        <v>0.62000000476837158</v>
      </c>
      <c r="H2301">
        <v>3502</v>
      </c>
      <c r="I2301">
        <v>3.7000000476837158</v>
      </c>
      <c r="J2301" t="s">
        <v>9234</v>
      </c>
      <c r="K2301">
        <v>19260</v>
      </c>
      <c r="L2301">
        <v>20250</v>
      </c>
      <c r="M2301">
        <v>5.14</v>
      </c>
      <c r="N2301">
        <v>-3.8</v>
      </c>
      <c r="O2301">
        <v>5.29</v>
      </c>
      <c r="P2301">
        <v>-7.22</v>
      </c>
      <c r="Q2301">
        <v>-31.29</v>
      </c>
      <c r="R2301">
        <v>63.64</v>
      </c>
      <c r="S2301">
        <v>9.3800000000000008</v>
      </c>
      <c r="T2301">
        <v>2.5</v>
      </c>
      <c r="U2301">
        <v>1.6</v>
      </c>
      <c r="V2301">
        <v>2.2999999999999998</v>
      </c>
      <c r="W2301">
        <v>5.2</v>
      </c>
      <c r="X2301">
        <v>7.33</v>
      </c>
      <c r="Y2301">
        <v>2.96</v>
      </c>
      <c r="Z2301">
        <v>1.52</v>
      </c>
      <c r="AA2301">
        <v>3.31</v>
      </c>
      <c r="AB2301">
        <v>3.14</v>
      </c>
      <c r="AC2301">
        <v>6.02</v>
      </c>
      <c r="AD2301">
        <v>8.68</v>
      </c>
      <c r="AE2301">
        <v>3.17</v>
      </c>
      <c r="AF2301">
        <v>4.3066666666666684</v>
      </c>
      <c r="AG2301" t="str">
        <f>HYPERLINK("https://finance.naver.com/item/fchart.naver?code=009300", "삼아제약 차트보기")</f>
        <v>삼아제약 차트보기</v>
      </c>
    </row>
    <row r="2302" spans="1:33" x14ac:dyDescent="0.3">
      <c r="A2302" t="s">
        <v>9235</v>
      </c>
      <c r="B2302" t="s">
        <v>55</v>
      </c>
      <c r="C2302" t="s">
        <v>9236</v>
      </c>
      <c r="D2302">
        <v>8386.57</v>
      </c>
      <c r="E2302" t="s">
        <v>9237</v>
      </c>
      <c r="F2302">
        <v>3.91</v>
      </c>
      <c r="G2302">
        <v>0.75</v>
      </c>
      <c r="H2302">
        <v>2930</v>
      </c>
      <c r="I2302">
        <v>4.369999885559082</v>
      </c>
      <c r="J2302" t="s">
        <v>9238</v>
      </c>
      <c r="K2302">
        <v>20900</v>
      </c>
      <c r="L2302">
        <v>11450</v>
      </c>
      <c r="M2302">
        <v>-45.22</v>
      </c>
      <c r="N2302">
        <v>-2.88</v>
      </c>
      <c r="O2302">
        <v>-7.88</v>
      </c>
      <c r="P2302">
        <v>-1.23</v>
      </c>
      <c r="Q2302">
        <v>-16.14</v>
      </c>
      <c r="R2302">
        <v>-17.32</v>
      </c>
      <c r="S2302">
        <v>-6.64</v>
      </c>
      <c r="T2302">
        <v>2.1800000000000002</v>
      </c>
      <c r="U2302">
        <v>1.41</v>
      </c>
      <c r="V2302">
        <v>2.2400000000000002</v>
      </c>
      <c r="W2302">
        <v>4.83</v>
      </c>
      <c r="X2302">
        <v>1.73</v>
      </c>
      <c r="Y2302">
        <v>1.31</v>
      </c>
      <c r="Z2302">
        <v>1.32</v>
      </c>
      <c r="AA2302">
        <v>5.59</v>
      </c>
      <c r="AB2302">
        <v>0.55000000000000004</v>
      </c>
      <c r="AC2302">
        <v>3.34</v>
      </c>
      <c r="AD2302">
        <v>10.01</v>
      </c>
      <c r="AE2302">
        <v>5.07</v>
      </c>
      <c r="AF2302">
        <v>4.3133333333333326</v>
      </c>
      <c r="AG2302" t="str">
        <f>HYPERLINK("https://finance.naver.com/item/fchart.naver?code=285490", "노바텍 차트보기")</f>
        <v>노바텍 차트보기</v>
      </c>
    </row>
    <row r="2303" spans="1:33" x14ac:dyDescent="0.3">
      <c r="A2303" t="s">
        <v>9239</v>
      </c>
      <c r="B2303" t="s">
        <v>55</v>
      </c>
      <c r="C2303" t="s">
        <v>9240</v>
      </c>
      <c r="D2303">
        <v>507141.62</v>
      </c>
      <c r="E2303" t="s">
        <v>9241</v>
      </c>
      <c r="F2303">
        <v>0</v>
      </c>
      <c r="G2303">
        <v>0.23000000417232511</v>
      </c>
      <c r="H2303">
        <v>0</v>
      </c>
      <c r="I2303">
        <v>0</v>
      </c>
      <c r="J2303" t="s">
        <v>9242</v>
      </c>
      <c r="K2303">
        <v>301</v>
      </c>
      <c r="L2303">
        <v>1002</v>
      </c>
      <c r="M2303">
        <v>232.89</v>
      </c>
      <c r="N2303">
        <v>-6</v>
      </c>
      <c r="O2303">
        <v>-13.11</v>
      </c>
      <c r="P2303">
        <v>-7.45</v>
      </c>
      <c r="Q2303">
        <v>637.23</v>
      </c>
      <c r="R2303">
        <v>-21.34</v>
      </c>
      <c r="S2303">
        <v>-20.77</v>
      </c>
      <c r="T2303">
        <v>4.91</v>
      </c>
      <c r="U2303">
        <v>8.02</v>
      </c>
      <c r="V2303">
        <v>1.2</v>
      </c>
      <c r="W2303">
        <v>161.38</v>
      </c>
      <c r="X2303">
        <v>4.42</v>
      </c>
      <c r="Y2303">
        <v>2.58</v>
      </c>
      <c r="Z2303">
        <v>1.22</v>
      </c>
      <c r="AA2303">
        <v>1.63</v>
      </c>
      <c r="AB2303">
        <v>6.21</v>
      </c>
      <c r="AC2303">
        <v>3.95</v>
      </c>
      <c r="AD2303">
        <v>4.83</v>
      </c>
      <c r="AE2303">
        <v>8.0500000000000007</v>
      </c>
      <c r="AF2303">
        <v>4.3150000000000004</v>
      </c>
      <c r="AG2303" t="str">
        <f>HYPERLINK("https://finance.naver.com/item/fchart.naver?code=079970", "투비소프트 차트보기")</f>
        <v>투비소프트 차트보기</v>
      </c>
    </row>
    <row r="2304" spans="1:33" x14ac:dyDescent="0.3">
      <c r="A2304" t="s">
        <v>9243</v>
      </c>
      <c r="B2304" t="s">
        <v>55</v>
      </c>
      <c r="C2304" t="s">
        <v>9244</v>
      </c>
      <c r="D2304">
        <v>188619.38</v>
      </c>
      <c r="E2304" t="s">
        <v>9245</v>
      </c>
      <c r="F2304">
        <v>18.13</v>
      </c>
      <c r="G2304">
        <v>1.5900000333786011</v>
      </c>
      <c r="H2304">
        <v>126</v>
      </c>
      <c r="I2304">
        <v>0</v>
      </c>
      <c r="J2304" t="s">
        <v>9246</v>
      </c>
      <c r="K2304">
        <v>3585</v>
      </c>
      <c r="L2304">
        <v>2285</v>
      </c>
      <c r="M2304">
        <v>-36.26</v>
      </c>
      <c r="N2304">
        <v>-4.1900000000000004</v>
      </c>
      <c r="O2304">
        <v>-26.02</v>
      </c>
      <c r="P2304">
        <v>32.979999999999997</v>
      </c>
      <c r="Q2304">
        <v>-14.93</v>
      </c>
      <c r="R2304">
        <v>-15.6</v>
      </c>
      <c r="S2304">
        <v>-6.4</v>
      </c>
      <c r="T2304">
        <v>3.31</v>
      </c>
      <c r="U2304">
        <v>2.97</v>
      </c>
      <c r="V2304">
        <v>7.45</v>
      </c>
      <c r="W2304">
        <v>3.6</v>
      </c>
      <c r="X2304">
        <v>3.21</v>
      </c>
      <c r="Y2304">
        <v>2.63</v>
      </c>
      <c r="Z2304">
        <v>1.27</v>
      </c>
      <c r="AA2304">
        <v>8.76</v>
      </c>
      <c r="AB2304">
        <v>4.43</v>
      </c>
      <c r="AC2304">
        <v>4.1500000000000004</v>
      </c>
      <c r="AD2304">
        <v>4.8600000000000003</v>
      </c>
      <c r="AE2304">
        <v>2.4300000000000002</v>
      </c>
      <c r="AF2304">
        <v>4.3166666666666664</v>
      </c>
      <c r="AG2304" t="str">
        <f>HYPERLINK("https://finance.naver.com/item/fchart.naver?code=417180", "핑거스토리 차트보기")</f>
        <v>핑거스토리 차트보기</v>
      </c>
    </row>
    <row r="2305" spans="1:33" x14ac:dyDescent="0.3">
      <c r="A2305" t="s">
        <v>9247</v>
      </c>
      <c r="B2305" t="s">
        <v>55</v>
      </c>
      <c r="C2305" t="s">
        <v>9248</v>
      </c>
      <c r="D2305">
        <v>2081109.38</v>
      </c>
      <c r="E2305" t="s">
        <v>9249</v>
      </c>
      <c r="F2305">
        <v>0</v>
      </c>
      <c r="G2305">
        <v>0.76999998092651367</v>
      </c>
      <c r="H2305">
        <v>0</v>
      </c>
      <c r="I2305">
        <v>0</v>
      </c>
      <c r="J2305" t="s">
        <v>9250</v>
      </c>
      <c r="K2305">
        <v>2825</v>
      </c>
      <c r="L2305">
        <v>1687</v>
      </c>
      <c r="M2305">
        <v>-40.28</v>
      </c>
      <c r="N2305">
        <v>-16.07</v>
      </c>
      <c r="O2305">
        <v>13.02</v>
      </c>
      <c r="P2305">
        <v>1.1599999999999999</v>
      </c>
      <c r="Q2305">
        <v>-18.850000000000001</v>
      </c>
      <c r="R2305">
        <v>5.25</v>
      </c>
      <c r="S2305">
        <v>-20.55</v>
      </c>
      <c r="T2305">
        <v>1.76</v>
      </c>
      <c r="U2305">
        <v>7.67</v>
      </c>
      <c r="V2305">
        <v>2.52</v>
      </c>
      <c r="W2305">
        <v>4.58</v>
      </c>
      <c r="X2305">
        <v>3.75</v>
      </c>
      <c r="Y2305">
        <v>2.2599999999999998</v>
      </c>
      <c r="Z2305">
        <v>9.1300000000000008</v>
      </c>
      <c r="AA2305">
        <v>1.7</v>
      </c>
      <c r="AB2305">
        <v>0.46</v>
      </c>
      <c r="AC2305">
        <v>4.12</v>
      </c>
      <c r="AD2305">
        <v>1.4</v>
      </c>
      <c r="AE2305">
        <v>9.09</v>
      </c>
      <c r="AF2305">
        <v>4.3166666666666664</v>
      </c>
      <c r="AG2305" t="str">
        <f>HYPERLINK("https://finance.naver.com/item/fchart.naver?code=060570", "드림어스컴퍼니 차트보기")</f>
        <v>드림어스컴퍼니 차트보기</v>
      </c>
    </row>
    <row r="2306" spans="1:33" x14ac:dyDescent="0.3">
      <c r="A2306" t="s">
        <v>9251</v>
      </c>
      <c r="B2306" t="s">
        <v>55</v>
      </c>
      <c r="C2306" t="s">
        <v>9252</v>
      </c>
      <c r="D2306">
        <v>68355</v>
      </c>
      <c r="E2306" t="s">
        <v>9253</v>
      </c>
      <c r="F2306">
        <v>5.21</v>
      </c>
      <c r="G2306">
        <v>1.370000004768372</v>
      </c>
      <c r="H2306">
        <v>389</v>
      </c>
      <c r="I2306">
        <v>0</v>
      </c>
      <c r="J2306" t="s">
        <v>9254</v>
      </c>
      <c r="K2306">
        <v>4295</v>
      </c>
      <c r="L2306">
        <v>2025</v>
      </c>
      <c r="M2306">
        <v>-52.85</v>
      </c>
      <c r="N2306">
        <v>-3.34</v>
      </c>
      <c r="O2306">
        <v>-12.22</v>
      </c>
      <c r="P2306">
        <v>2.1</v>
      </c>
      <c r="Q2306">
        <v>-15.84</v>
      </c>
      <c r="R2306">
        <v>-16.88</v>
      </c>
      <c r="S2306">
        <v>-13.65</v>
      </c>
      <c r="T2306">
        <v>1.8</v>
      </c>
      <c r="U2306">
        <v>1.89</v>
      </c>
      <c r="V2306">
        <v>3.23</v>
      </c>
      <c r="W2306">
        <v>4.75</v>
      </c>
      <c r="X2306">
        <v>2.68</v>
      </c>
      <c r="Y2306">
        <v>1.87</v>
      </c>
      <c r="Z2306">
        <v>1.86</v>
      </c>
      <c r="AA2306">
        <v>6.47</v>
      </c>
      <c r="AB2306">
        <v>0.65</v>
      </c>
      <c r="AC2306">
        <v>3.33</v>
      </c>
      <c r="AD2306">
        <v>6.3</v>
      </c>
      <c r="AE2306">
        <v>7.3</v>
      </c>
      <c r="AF2306">
        <v>4.3183333333333334</v>
      </c>
      <c r="AG2306" t="str">
        <f>HYPERLINK("https://finance.naver.com/item/fchart.naver?code=082210", "옵트론텍 차트보기")</f>
        <v>옵트론텍 차트보기</v>
      </c>
    </row>
    <row r="2307" spans="1:33" x14ac:dyDescent="0.3">
      <c r="A2307" t="s">
        <v>9255</v>
      </c>
      <c r="B2307" t="s">
        <v>55</v>
      </c>
      <c r="C2307" t="s">
        <v>9256</v>
      </c>
      <c r="D2307">
        <v>39830.81</v>
      </c>
      <c r="E2307" t="s">
        <v>9257</v>
      </c>
      <c r="F2307">
        <v>4.7300000000000004</v>
      </c>
      <c r="G2307">
        <v>0.40999999642372131</v>
      </c>
      <c r="H2307">
        <v>425</v>
      </c>
      <c r="I2307">
        <v>0</v>
      </c>
      <c r="J2307" t="s">
        <v>9258</v>
      </c>
      <c r="K2307">
        <v>3540</v>
      </c>
      <c r="L2307">
        <v>2010</v>
      </c>
      <c r="M2307">
        <v>-43.22</v>
      </c>
      <c r="N2307">
        <v>-6.51</v>
      </c>
      <c r="O2307">
        <v>-15.64</v>
      </c>
      <c r="P2307">
        <v>-7.85</v>
      </c>
      <c r="Q2307">
        <v>-13.88</v>
      </c>
      <c r="R2307">
        <v>-10.66</v>
      </c>
      <c r="S2307">
        <v>-10</v>
      </c>
      <c r="T2307">
        <v>2.1</v>
      </c>
      <c r="U2307">
        <v>3.52</v>
      </c>
      <c r="V2307">
        <v>1.73</v>
      </c>
      <c r="W2307">
        <v>2.89</v>
      </c>
      <c r="X2307">
        <v>1.76</v>
      </c>
      <c r="Y2307">
        <v>3.36</v>
      </c>
      <c r="Z2307">
        <v>3.1</v>
      </c>
      <c r="AA2307">
        <v>4.4400000000000004</v>
      </c>
      <c r="AB2307">
        <v>4.54</v>
      </c>
      <c r="AC2307">
        <v>4.8</v>
      </c>
      <c r="AD2307">
        <v>6.06</v>
      </c>
      <c r="AE2307">
        <v>2.98</v>
      </c>
      <c r="AF2307">
        <v>4.32</v>
      </c>
      <c r="AG2307" t="str">
        <f>HYPERLINK("https://finance.naver.com/item/fchart.naver?code=064520", "테크엘 차트보기")</f>
        <v>테크엘 차트보기</v>
      </c>
    </row>
    <row r="2308" spans="1:33" x14ac:dyDescent="0.3">
      <c r="A2308" t="s">
        <v>9259</v>
      </c>
      <c r="B2308" t="s">
        <v>55</v>
      </c>
      <c r="C2308" t="s">
        <v>9260</v>
      </c>
      <c r="D2308">
        <v>1205709.29</v>
      </c>
      <c r="E2308" t="s">
        <v>9261</v>
      </c>
      <c r="F2308">
        <v>0</v>
      </c>
      <c r="G2308">
        <v>2.7400000095367432</v>
      </c>
      <c r="H2308">
        <v>0</v>
      </c>
      <c r="I2308">
        <v>0</v>
      </c>
      <c r="J2308" t="s">
        <v>9262</v>
      </c>
      <c r="K2308">
        <v>2447</v>
      </c>
      <c r="L2308">
        <v>2350</v>
      </c>
      <c r="M2308">
        <v>-3.96</v>
      </c>
      <c r="N2308">
        <v>53.7</v>
      </c>
      <c r="O2308">
        <v>-15.29</v>
      </c>
      <c r="P2308">
        <v>-3.8</v>
      </c>
      <c r="Q2308">
        <v>-13.19</v>
      </c>
      <c r="R2308">
        <v>39.74</v>
      </c>
      <c r="S2308">
        <v>-35.97</v>
      </c>
      <c r="T2308">
        <v>11.48</v>
      </c>
      <c r="U2308">
        <v>5.35</v>
      </c>
      <c r="V2308">
        <v>4.3099999999999996</v>
      </c>
      <c r="W2308">
        <v>5.94</v>
      </c>
      <c r="X2308">
        <v>4.26</v>
      </c>
      <c r="Y2308">
        <v>6</v>
      </c>
      <c r="Z2308">
        <v>4.68</v>
      </c>
      <c r="AA2308">
        <v>2.86</v>
      </c>
      <c r="AB2308">
        <v>0.88</v>
      </c>
      <c r="AC2308">
        <v>2.2200000000000002</v>
      </c>
      <c r="AD2308">
        <v>9.33</v>
      </c>
      <c r="AE2308">
        <v>6</v>
      </c>
      <c r="AF2308">
        <v>4.3283333333333331</v>
      </c>
      <c r="AG2308" t="str">
        <f>HYPERLINK("https://finance.naver.com/item/fchart.naver?code=357880", "비트나인 차트보기")</f>
        <v>비트나인 차트보기</v>
      </c>
    </row>
    <row r="2309" spans="1:33" x14ac:dyDescent="0.3">
      <c r="A2309" t="s">
        <v>9263</v>
      </c>
      <c r="B2309" t="s">
        <v>55</v>
      </c>
      <c r="C2309" t="s">
        <v>9264</v>
      </c>
      <c r="D2309">
        <v>125556.29</v>
      </c>
      <c r="E2309" t="s">
        <v>9265</v>
      </c>
      <c r="F2309">
        <v>21.4</v>
      </c>
      <c r="G2309">
        <v>1.669999957084656</v>
      </c>
      <c r="H2309">
        <v>922</v>
      </c>
      <c r="I2309">
        <v>0</v>
      </c>
      <c r="J2309" t="s">
        <v>9266</v>
      </c>
      <c r="K2309">
        <v>49500</v>
      </c>
      <c r="L2309">
        <v>19730</v>
      </c>
      <c r="M2309">
        <v>-60.14</v>
      </c>
      <c r="N2309">
        <v>12.55</v>
      </c>
      <c r="O2309">
        <v>-18.5</v>
      </c>
      <c r="P2309">
        <v>-27.64</v>
      </c>
      <c r="Q2309">
        <v>21.24</v>
      </c>
      <c r="R2309">
        <v>-46.32</v>
      </c>
      <c r="S2309">
        <v>0.61</v>
      </c>
      <c r="T2309">
        <v>4.57</v>
      </c>
      <c r="U2309">
        <v>2.62</v>
      </c>
      <c r="V2309">
        <v>5.2</v>
      </c>
      <c r="W2309">
        <v>9.24</v>
      </c>
      <c r="X2309">
        <v>5.46</v>
      </c>
      <c r="Y2309">
        <v>9.39</v>
      </c>
      <c r="Z2309">
        <v>2.75</v>
      </c>
      <c r="AA2309">
        <v>7.06</v>
      </c>
      <c r="AB2309">
        <v>5.32</v>
      </c>
      <c r="AC2309">
        <v>2.2999999999999998</v>
      </c>
      <c r="AD2309">
        <v>8.48</v>
      </c>
      <c r="AE2309">
        <v>0.06</v>
      </c>
      <c r="AF2309">
        <v>4.3283333333333331</v>
      </c>
      <c r="AG2309" t="str">
        <f>HYPERLINK("https://finance.naver.com/item/fchart.naver?code=453450", "그리드위즈 차트보기")</f>
        <v>그리드위즈 차트보기</v>
      </c>
    </row>
    <row r="2310" spans="1:33" x14ac:dyDescent="0.3">
      <c r="A2310" t="s">
        <v>9267</v>
      </c>
      <c r="B2310" t="s">
        <v>34</v>
      </c>
      <c r="C2310" t="s">
        <v>9268</v>
      </c>
      <c r="D2310">
        <v>45284.71</v>
      </c>
      <c r="E2310" t="s">
        <v>9269</v>
      </c>
      <c r="J2310" t="s">
        <v>9270</v>
      </c>
      <c r="K2310">
        <v>3660</v>
      </c>
      <c r="L2310">
        <v>3345</v>
      </c>
      <c r="M2310">
        <v>-8.61</v>
      </c>
      <c r="N2310">
        <v>-3.04</v>
      </c>
      <c r="O2310">
        <v>-3.33</v>
      </c>
      <c r="P2310">
        <v>-3.74</v>
      </c>
      <c r="Q2310">
        <v>-2.4700000000000002</v>
      </c>
      <c r="R2310">
        <v>6.39</v>
      </c>
      <c r="S2310">
        <v>1.25</v>
      </c>
      <c r="T2310">
        <v>0.44</v>
      </c>
      <c r="U2310">
        <v>0.71</v>
      </c>
      <c r="V2310">
        <v>1.1299999999999999</v>
      </c>
      <c r="W2310">
        <v>1.1399999999999999</v>
      </c>
      <c r="X2310">
        <v>0.83</v>
      </c>
      <c r="Y2310">
        <v>1.03</v>
      </c>
      <c r="Z2310">
        <v>6.91</v>
      </c>
      <c r="AA2310">
        <v>4.6900000000000004</v>
      </c>
      <c r="AB2310">
        <v>3.31</v>
      </c>
      <c r="AC2310">
        <v>2.17</v>
      </c>
      <c r="AD2310">
        <v>7.7</v>
      </c>
      <c r="AE2310">
        <v>1.21</v>
      </c>
      <c r="AF2310">
        <v>4.331666666666667</v>
      </c>
      <c r="AG2310" t="str">
        <f>HYPERLINK("https://finance.naver.com/item/fchart.naver?code=400760", "NH올원리츠 차트보기")</f>
        <v>NH올원리츠 차트보기</v>
      </c>
    </row>
    <row r="2311" spans="1:33" x14ac:dyDescent="0.3">
      <c r="A2311" t="s">
        <v>9271</v>
      </c>
      <c r="B2311" t="s">
        <v>55</v>
      </c>
      <c r="C2311" t="s">
        <v>9272</v>
      </c>
      <c r="D2311">
        <v>24815.33</v>
      </c>
      <c r="E2311" t="s">
        <v>9273</v>
      </c>
      <c r="F2311">
        <v>0</v>
      </c>
      <c r="G2311">
        <v>2.0099999904632568</v>
      </c>
      <c r="H2311">
        <v>0</v>
      </c>
      <c r="I2311">
        <v>0</v>
      </c>
      <c r="J2311" t="s">
        <v>9274</v>
      </c>
      <c r="K2311">
        <v>12520</v>
      </c>
      <c r="L2311">
        <v>6920</v>
      </c>
      <c r="M2311">
        <v>-44.73</v>
      </c>
      <c r="N2311">
        <v>-7.24</v>
      </c>
      <c r="O2311">
        <v>-13.1</v>
      </c>
      <c r="P2311">
        <v>-6.72</v>
      </c>
      <c r="Q2311">
        <v>-21.26</v>
      </c>
      <c r="R2311">
        <v>-25.37</v>
      </c>
      <c r="S2311">
        <v>5.81</v>
      </c>
      <c r="T2311">
        <v>1.64</v>
      </c>
      <c r="U2311">
        <v>2.5</v>
      </c>
      <c r="V2311">
        <v>4.13</v>
      </c>
      <c r="W2311">
        <v>4.37</v>
      </c>
      <c r="X2311">
        <v>2.92</v>
      </c>
      <c r="Y2311">
        <v>4.92</v>
      </c>
      <c r="Z2311">
        <v>4.41</v>
      </c>
      <c r="AA2311">
        <v>5.24</v>
      </c>
      <c r="AB2311">
        <v>1.63</v>
      </c>
      <c r="AC2311">
        <v>4.8600000000000003</v>
      </c>
      <c r="AD2311">
        <v>8.69</v>
      </c>
      <c r="AE2311">
        <v>1.18</v>
      </c>
      <c r="AF2311">
        <v>4.335</v>
      </c>
      <c r="AG2311" t="str">
        <f>HYPERLINK("https://finance.naver.com/item/fchart.naver?code=355150", "코스텍시스 차트보기")</f>
        <v>코스텍시스 차트보기</v>
      </c>
    </row>
    <row r="2312" spans="1:33" x14ac:dyDescent="0.3">
      <c r="A2312" t="s">
        <v>9275</v>
      </c>
      <c r="B2312" t="s">
        <v>55</v>
      </c>
      <c r="C2312" t="s">
        <v>9276</v>
      </c>
      <c r="D2312">
        <v>429418.9</v>
      </c>
      <c r="E2312" t="s">
        <v>9277</v>
      </c>
      <c r="F2312">
        <v>7.82</v>
      </c>
      <c r="G2312">
        <v>1.6499999761581421</v>
      </c>
      <c r="H2312">
        <v>444</v>
      </c>
      <c r="I2312">
        <v>0</v>
      </c>
      <c r="J2312" t="s">
        <v>9278</v>
      </c>
      <c r="K2312">
        <v>3415</v>
      </c>
      <c r="L2312">
        <v>3470</v>
      </c>
      <c r="M2312">
        <v>1.61</v>
      </c>
      <c r="N2312">
        <v>1.76</v>
      </c>
      <c r="O2312">
        <v>11.38</v>
      </c>
      <c r="P2312">
        <v>6.08</v>
      </c>
      <c r="Q2312">
        <v>6.3</v>
      </c>
      <c r="R2312">
        <v>-8.2100000000000009</v>
      </c>
      <c r="S2312">
        <v>-8.23</v>
      </c>
      <c r="T2312">
        <v>2.87</v>
      </c>
      <c r="U2312">
        <v>2</v>
      </c>
      <c r="V2312">
        <v>2.5</v>
      </c>
      <c r="W2312">
        <v>4.76</v>
      </c>
      <c r="X2312">
        <v>1.05</v>
      </c>
      <c r="Y2312">
        <v>1.01</v>
      </c>
      <c r="Z2312">
        <v>0.61</v>
      </c>
      <c r="AA2312">
        <v>5.69</v>
      </c>
      <c r="AB2312">
        <v>2.4300000000000002</v>
      </c>
      <c r="AC2312">
        <v>1.32</v>
      </c>
      <c r="AD2312">
        <v>7.82</v>
      </c>
      <c r="AE2312">
        <v>8.15</v>
      </c>
      <c r="AF2312">
        <v>4.3366666666666669</v>
      </c>
      <c r="AG2312" t="str">
        <f>HYPERLINK("https://finance.naver.com/item/fchart.naver?code=203650", "드림시큐리티 차트보기")</f>
        <v>드림시큐리티 차트보기</v>
      </c>
    </row>
    <row r="2313" spans="1:33" x14ac:dyDescent="0.3">
      <c r="A2313" t="s">
        <v>9279</v>
      </c>
      <c r="B2313" t="s">
        <v>55</v>
      </c>
      <c r="C2313" t="s">
        <v>9280</v>
      </c>
      <c r="D2313">
        <v>203059.9</v>
      </c>
      <c r="E2313" t="s">
        <v>9281</v>
      </c>
      <c r="F2313">
        <v>0</v>
      </c>
      <c r="G2313">
        <v>0.49000000953674322</v>
      </c>
      <c r="H2313">
        <v>0</v>
      </c>
      <c r="I2313">
        <v>0</v>
      </c>
      <c r="J2313" t="s">
        <v>9282</v>
      </c>
      <c r="K2313">
        <v>1610</v>
      </c>
      <c r="L2313">
        <v>502</v>
      </c>
      <c r="M2313">
        <v>-68.819999999999993</v>
      </c>
      <c r="N2313">
        <v>-1.57</v>
      </c>
      <c r="O2313">
        <v>-45.46</v>
      </c>
      <c r="P2313">
        <v>-11.68</v>
      </c>
      <c r="Q2313">
        <v>-10.57</v>
      </c>
      <c r="R2313">
        <v>-14.44</v>
      </c>
      <c r="S2313">
        <v>-10.44</v>
      </c>
      <c r="T2313">
        <v>3.31</v>
      </c>
      <c r="U2313">
        <v>7.25</v>
      </c>
      <c r="V2313">
        <v>2.31</v>
      </c>
      <c r="W2313">
        <v>4.43</v>
      </c>
      <c r="X2313">
        <v>1.98</v>
      </c>
      <c r="Y2313">
        <v>2.29</v>
      </c>
      <c r="Z2313">
        <v>0.47</v>
      </c>
      <c r="AA2313">
        <v>6.27</v>
      </c>
      <c r="AB2313">
        <v>5.0599999999999996</v>
      </c>
      <c r="AC2313">
        <v>2.39</v>
      </c>
      <c r="AD2313">
        <v>7.29</v>
      </c>
      <c r="AE2313">
        <v>4.5599999999999996</v>
      </c>
      <c r="AF2313">
        <v>4.34</v>
      </c>
      <c r="AG2313" t="str">
        <f>HYPERLINK("https://finance.naver.com/item/fchart.naver?code=060240", "스타코링크 차트보기")</f>
        <v>스타코링크 차트보기</v>
      </c>
    </row>
    <row r="2314" spans="1:33" x14ac:dyDescent="0.3">
      <c r="A2314" t="s">
        <v>9283</v>
      </c>
      <c r="B2314" t="s">
        <v>55</v>
      </c>
      <c r="C2314" t="s">
        <v>9284</v>
      </c>
      <c r="D2314">
        <v>23160.71</v>
      </c>
      <c r="E2314" t="s">
        <v>9285</v>
      </c>
      <c r="F2314">
        <v>0</v>
      </c>
      <c r="G2314">
        <v>1.370000004768372</v>
      </c>
      <c r="H2314">
        <v>0</v>
      </c>
      <c r="I2314">
        <v>0</v>
      </c>
      <c r="J2314" t="s">
        <v>9286</v>
      </c>
      <c r="K2314">
        <v>9900</v>
      </c>
      <c r="L2314">
        <v>5000</v>
      </c>
      <c r="M2314">
        <v>-49.49</v>
      </c>
      <c r="N2314">
        <v>1.1100000000000001</v>
      </c>
      <c r="O2314">
        <v>-19.27</v>
      </c>
      <c r="P2314">
        <v>-5.56</v>
      </c>
      <c r="Q2314">
        <v>-2.5099999999999998</v>
      </c>
      <c r="R2314">
        <v>-16.79</v>
      </c>
      <c r="S2314">
        <v>-14.08</v>
      </c>
      <c r="T2314">
        <v>3.21</v>
      </c>
      <c r="U2314">
        <v>2.2000000000000002</v>
      </c>
      <c r="V2314">
        <v>3.59</v>
      </c>
      <c r="W2314">
        <v>8</v>
      </c>
      <c r="X2314">
        <v>2.44</v>
      </c>
      <c r="Y2314">
        <v>1.72</v>
      </c>
      <c r="Z2314">
        <v>0.35</v>
      </c>
      <c r="AA2314">
        <v>8.76</v>
      </c>
      <c r="AB2314">
        <v>1.55</v>
      </c>
      <c r="AC2314">
        <v>0.31</v>
      </c>
      <c r="AD2314">
        <v>6.88</v>
      </c>
      <c r="AE2314">
        <v>8.19</v>
      </c>
      <c r="AF2314">
        <v>4.34</v>
      </c>
      <c r="AG2314" t="str">
        <f>HYPERLINK("https://finance.naver.com/item/fchart.naver?code=274400", "이노시뮬레이션 차트보기")</f>
        <v>이노시뮬레이션 차트보기</v>
      </c>
    </row>
    <row r="2315" spans="1:33" x14ac:dyDescent="0.3">
      <c r="A2315" t="s">
        <v>9287</v>
      </c>
      <c r="B2315" t="s">
        <v>55</v>
      </c>
      <c r="C2315" t="s">
        <v>9288</v>
      </c>
      <c r="D2315">
        <v>47023.67</v>
      </c>
      <c r="E2315" t="s">
        <v>9289</v>
      </c>
      <c r="F2315">
        <v>57.49</v>
      </c>
      <c r="G2315">
        <v>1</v>
      </c>
      <c r="H2315">
        <v>167</v>
      </c>
      <c r="I2315">
        <v>0.41999998688697809</v>
      </c>
      <c r="J2315" t="s">
        <v>9290</v>
      </c>
      <c r="K2315">
        <v>14640</v>
      </c>
      <c r="L2315">
        <v>9600</v>
      </c>
      <c r="M2315">
        <v>-34.43</v>
      </c>
      <c r="N2315">
        <v>2.4500000000000002</v>
      </c>
      <c r="O2315">
        <v>-5.42</v>
      </c>
      <c r="P2315">
        <v>-1.1399999999999999</v>
      </c>
      <c r="Q2315">
        <v>-6.56</v>
      </c>
      <c r="R2315">
        <v>-12.18</v>
      </c>
      <c r="S2315">
        <v>-10.31</v>
      </c>
      <c r="T2315">
        <v>0.91</v>
      </c>
      <c r="U2315">
        <v>1.06</v>
      </c>
      <c r="V2315">
        <v>2.25</v>
      </c>
      <c r="W2315">
        <v>5.65</v>
      </c>
      <c r="X2315">
        <v>1.45</v>
      </c>
      <c r="Y2315">
        <v>1.26</v>
      </c>
      <c r="Z2315">
        <v>2.69</v>
      </c>
      <c r="AA2315">
        <v>5.1100000000000003</v>
      </c>
      <c r="AB2315">
        <v>0.51</v>
      </c>
      <c r="AC2315">
        <v>1.1599999999999999</v>
      </c>
      <c r="AD2315">
        <v>8.4</v>
      </c>
      <c r="AE2315">
        <v>8.18</v>
      </c>
      <c r="AF2315">
        <v>4.3416666666666668</v>
      </c>
      <c r="AG2315" t="str">
        <f>HYPERLINK("https://finance.naver.com/item/fchart.naver?code=417970", "모델솔루션 차트보기")</f>
        <v>모델솔루션 차트보기</v>
      </c>
    </row>
    <row r="2316" spans="1:33" x14ac:dyDescent="0.3">
      <c r="A2316" t="s">
        <v>9291</v>
      </c>
      <c r="B2316" t="s">
        <v>55</v>
      </c>
      <c r="C2316" t="s">
        <v>9292</v>
      </c>
      <c r="D2316">
        <v>347109.19</v>
      </c>
      <c r="E2316" t="s">
        <v>9293</v>
      </c>
      <c r="F2316">
        <v>0</v>
      </c>
      <c r="G2316">
        <v>2.029999971389771</v>
      </c>
      <c r="H2316">
        <v>0</v>
      </c>
      <c r="I2316">
        <v>0</v>
      </c>
      <c r="J2316" t="s">
        <v>9294</v>
      </c>
      <c r="K2316">
        <v>8240</v>
      </c>
      <c r="L2316">
        <v>6260</v>
      </c>
      <c r="M2316">
        <v>-24.03</v>
      </c>
      <c r="N2316">
        <v>-8.75</v>
      </c>
      <c r="O2316">
        <v>-6.13</v>
      </c>
      <c r="P2316">
        <v>9.3000000000000007</v>
      </c>
      <c r="Q2316">
        <v>-13.41</v>
      </c>
      <c r="R2316">
        <v>-25.88</v>
      </c>
      <c r="S2316">
        <v>31.16</v>
      </c>
      <c r="T2316">
        <v>4.04</v>
      </c>
      <c r="U2316">
        <v>3.31</v>
      </c>
      <c r="V2316">
        <v>4.22</v>
      </c>
      <c r="W2316">
        <v>3.99</v>
      </c>
      <c r="X2316">
        <v>2.27</v>
      </c>
      <c r="Y2316">
        <v>6.13</v>
      </c>
      <c r="Z2316">
        <v>2.17</v>
      </c>
      <c r="AA2316">
        <v>1.85</v>
      </c>
      <c r="AB2316">
        <v>2.2000000000000002</v>
      </c>
      <c r="AC2316">
        <v>3.36</v>
      </c>
      <c r="AD2316">
        <v>11.4</v>
      </c>
      <c r="AE2316">
        <v>5.08</v>
      </c>
      <c r="AF2316">
        <v>4.3433333333333337</v>
      </c>
      <c r="AG2316" t="str">
        <f>HYPERLINK("https://finance.naver.com/item/fchart.naver?code=362320", "청담글로벌 차트보기")</f>
        <v>청담글로벌 차트보기</v>
      </c>
    </row>
    <row r="2317" spans="1:33" x14ac:dyDescent="0.3">
      <c r="A2317" t="s">
        <v>9295</v>
      </c>
      <c r="B2317" t="s">
        <v>55</v>
      </c>
      <c r="C2317" t="s">
        <v>9296</v>
      </c>
      <c r="D2317">
        <v>14786.71</v>
      </c>
      <c r="E2317" t="s">
        <v>9297</v>
      </c>
      <c r="F2317">
        <v>0</v>
      </c>
      <c r="G2317">
        <v>0.34999999403953552</v>
      </c>
      <c r="H2317">
        <v>0</v>
      </c>
      <c r="I2317">
        <v>0</v>
      </c>
      <c r="J2317" t="s">
        <v>9298</v>
      </c>
      <c r="K2317">
        <v>6280</v>
      </c>
      <c r="L2317">
        <v>2990</v>
      </c>
      <c r="M2317">
        <v>-52.39</v>
      </c>
      <c r="N2317">
        <v>-2.76</v>
      </c>
      <c r="O2317">
        <v>-17.28</v>
      </c>
      <c r="P2317">
        <v>-2.2400000000000002</v>
      </c>
      <c r="Q2317">
        <v>-12.86</v>
      </c>
      <c r="R2317">
        <v>-13.58</v>
      </c>
      <c r="S2317">
        <v>-8.65</v>
      </c>
      <c r="T2317">
        <v>2.92</v>
      </c>
      <c r="U2317">
        <v>2.4900000000000002</v>
      </c>
      <c r="V2317">
        <v>1.53</v>
      </c>
      <c r="W2317">
        <v>2.75</v>
      </c>
      <c r="X2317">
        <v>1.84</v>
      </c>
      <c r="Y2317">
        <v>1.86</v>
      </c>
      <c r="Z2317">
        <v>0.95</v>
      </c>
      <c r="AA2317">
        <v>6.94</v>
      </c>
      <c r="AB2317">
        <v>1.46</v>
      </c>
      <c r="AC2317">
        <v>4.68</v>
      </c>
      <c r="AD2317">
        <v>7.38</v>
      </c>
      <c r="AE2317">
        <v>4.6500000000000004</v>
      </c>
      <c r="AF2317">
        <v>4.3433333333333337</v>
      </c>
      <c r="AG2317" t="str">
        <f>HYPERLINK("https://finance.naver.com/item/fchart.naver?code=137080", "나래나노텍 차트보기")</f>
        <v>나래나노텍 차트보기</v>
      </c>
    </row>
    <row r="2318" spans="1:33" x14ac:dyDescent="0.3">
      <c r="A2318" t="s">
        <v>9299</v>
      </c>
      <c r="B2318" t="s">
        <v>34</v>
      </c>
      <c r="C2318" t="s">
        <v>9300</v>
      </c>
      <c r="D2318">
        <v>194259.62</v>
      </c>
      <c r="E2318" t="s">
        <v>9301</v>
      </c>
      <c r="F2318">
        <v>5.84</v>
      </c>
      <c r="G2318">
        <v>0.40000000596046448</v>
      </c>
      <c r="H2318">
        <v>455</v>
      </c>
      <c r="I2318">
        <v>4.5199999809265137</v>
      </c>
      <c r="J2318" t="s">
        <v>9302</v>
      </c>
      <c r="K2318">
        <v>2905</v>
      </c>
      <c r="L2318">
        <v>2655</v>
      </c>
      <c r="M2318">
        <v>-8.61</v>
      </c>
      <c r="N2318">
        <v>3.51</v>
      </c>
      <c r="O2318">
        <v>-1.85</v>
      </c>
      <c r="P2318">
        <v>6.51</v>
      </c>
      <c r="Q2318">
        <v>-2.46</v>
      </c>
      <c r="R2318">
        <v>-3.67</v>
      </c>
      <c r="S2318">
        <v>-3.7</v>
      </c>
      <c r="T2318">
        <v>1.52</v>
      </c>
      <c r="U2318">
        <v>0.88</v>
      </c>
      <c r="V2318">
        <v>1.85</v>
      </c>
      <c r="W2318">
        <v>2.65</v>
      </c>
      <c r="X2318">
        <v>0.46</v>
      </c>
      <c r="Y2318">
        <v>0.4</v>
      </c>
      <c r="Z2318">
        <v>2.31</v>
      </c>
      <c r="AA2318">
        <v>2.1</v>
      </c>
      <c r="AB2318">
        <v>3.52</v>
      </c>
      <c r="AC2318">
        <v>0.93</v>
      </c>
      <c r="AD2318">
        <v>7.98</v>
      </c>
      <c r="AE2318">
        <v>9.25</v>
      </c>
      <c r="AF2318">
        <v>4.3483333333333336</v>
      </c>
      <c r="AG2318" t="str">
        <f>HYPERLINK("https://finance.naver.com/item/fchart.naver?code=058860", "KTis 차트보기")</f>
        <v>KTis 차트보기</v>
      </c>
    </row>
    <row r="2319" spans="1:33" x14ac:dyDescent="0.3">
      <c r="A2319" t="s">
        <v>9303</v>
      </c>
      <c r="B2319" t="s">
        <v>55</v>
      </c>
      <c r="C2319" t="s">
        <v>9304</v>
      </c>
      <c r="D2319">
        <v>61491.43</v>
      </c>
      <c r="E2319" t="s">
        <v>9305</v>
      </c>
      <c r="F2319">
        <v>0</v>
      </c>
      <c r="G2319">
        <v>1.129999995231628</v>
      </c>
      <c r="H2319">
        <v>0</v>
      </c>
      <c r="I2319">
        <v>0</v>
      </c>
      <c r="J2319" t="s">
        <v>9306</v>
      </c>
      <c r="K2319">
        <v>17130</v>
      </c>
      <c r="L2319">
        <v>7360</v>
      </c>
      <c r="M2319">
        <v>-57.03</v>
      </c>
      <c r="N2319">
        <v>-5.4</v>
      </c>
      <c r="O2319">
        <v>-9.5399999999999991</v>
      </c>
      <c r="P2319">
        <v>-6.93</v>
      </c>
      <c r="Q2319">
        <v>-23.14</v>
      </c>
      <c r="R2319">
        <v>-20.45</v>
      </c>
      <c r="S2319">
        <v>-12.77</v>
      </c>
      <c r="T2319">
        <v>1.85</v>
      </c>
      <c r="U2319">
        <v>3</v>
      </c>
      <c r="V2319">
        <v>3.09</v>
      </c>
      <c r="W2319">
        <v>4.8600000000000003</v>
      </c>
      <c r="X2319">
        <v>2.59</v>
      </c>
      <c r="Y2319">
        <v>2.5099999999999998</v>
      </c>
      <c r="Z2319">
        <v>2.92</v>
      </c>
      <c r="AA2319">
        <v>3.18</v>
      </c>
      <c r="AB2319">
        <v>2.2400000000000002</v>
      </c>
      <c r="AC2319">
        <v>4.76</v>
      </c>
      <c r="AD2319">
        <v>7.9</v>
      </c>
      <c r="AE2319">
        <v>5.09</v>
      </c>
      <c r="AF2319">
        <v>4.3483333333333336</v>
      </c>
      <c r="AG2319" t="str">
        <f>HYPERLINK("https://finance.naver.com/item/fchart.naver?code=033640", "네패스 차트보기")</f>
        <v>네패스 차트보기</v>
      </c>
    </row>
    <row r="2320" spans="1:33" x14ac:dyDescent="0.3">
      <c r="A2320" t="s">
        <v>9307</v>
      </c>
      <c r="B2320" t="s">
        <v>55</v>
      </c>
      <c r="C2320" t="s">
        <v>9308</v>
      </c>
      <c r="D2320">
        <v>27065.19</v>
      </c>
      <c r="E2320" t="s">
        <v>9309</v>
      </c>
      <c r="F2320">
        <v>89.07</v>
      </c>
      <c r="G2320">
        <v>1.2899999618530269</v>
      </c>
      <c r="H2320">
        <v>270</v>
      </c>
      <c r="I2320">
        <v>9.3599996566772461</v>
      </c>
      <c r="J2320" t="s">
        <v>9310</v>
      </c>
      <c r="K2320">
        <v>13010</v>
      </c>
      <c r="L2320">
        <v>24050</v>
      </c>
      <c r="M2320">
        <v>84.86</v>
      </c>
      <c r="N2320">
        <v>5.48</v>
      </c>
      <c r="O2320">
        <v>8.0399999999999991</v>
      </c>
      <c r="P2320">
        <v>10.02</v>
      </c>
      <c r="Q2320">
        <v>-19.16</v>
      </c>
      <c r="R2320">
        <v>-7.19</v>
      </c>
      <c r="S2320">
        <v>80.900000000000006</v>
      </c>
      <c r="T2320">
        <v>2.09</v>
      </c>
      <c r="U2320">
        <v>3.05</v>
      </c>
      <c r="V2320">
        <v>2.67</v>
      </c>
      <c r="W2320">
        <v>3.67</v>
      </c>
      <c r="X2320">
        <v>3.11</v>
      </c>
      <c r="Y2320">
        <v>8.4700000000000006</v>
      </c>
      <c r="Z2320">
        <v>2.62</v>
      </c>
      <c r="AA2320">
        <v>2.64</v>
      </c>
      <c r="AB2320">
        <v>3.75</v>
      </c>
      <c r="AC2320">
        <v>5.22</v>
      </c>
      <c r="AD2320">
        <v>2.31</v>
      </c>
      <c r="AE2320">
        <v>9.5500000000000007</v>
      </c>
      <c r="AF2320">
        <v>4.3483333333333336</v>
      </c>
      <c r="AG2320" t="str">
        <f>HYPERLINK("https://finance.naver.com/item/fchart.naver?code=101930", "인화정공 차트보기")</f>
        <v>인화정공 차트보기</v>
      </c>
    </row>
    <row r="2321" spans="1:33" x14ac:dyDescent="0.3">
      <c r="A2321" t="s">
        <v>9311</v>
      </c>
      <c r="B2321" t="s">
        <v>55</v>
      </c>
      <c r="C2321" t="s">
        <v>9312</v>
      </c>
      <c r="D2321">
        <v>22812.57</v>
      </c>
      <c r="E2321" t="s">
        <v>9313</v>
      </c>
      <c r="F2321">
        <v>16.350000000000001</v>
      </c>
      <c r="G2321">
        <v>0.43999999761581421</v>
      </c>
      <c r="H2321">
        <v>71</v>
      </c>
      <c r="I2321">
        <v>0.86000001430511475</v>
      </c>
      <c r="J2321" t="s">
        <v>9314</v>
      </c>
      <c r="K2321">
        <v>1474</v>
      </c>
      <c r="L2321">
        <v>1161</v>
      </c>
      <c r="M2321">
        <v>-21.23</v>
      </c>
      <c r="N2321">
        <v>-0.34</v>
      </c>
      <c r="O2321">
        <v>-4.04</v>
      </c>
      <c r="P2321">
        <v>-5.88</v>
      </c>
      <c r="Q2321">
        <v>-2.82</v>
      </c>
      <c r="R2321">
        <v>-2.61</v>
      </c>
      <c r="S2321">
        <v>-6.12</v>
      </c>
      <c r="T2321">
        <v>1.46</v>
      </c>
      <c r="U2321">
        <v>0.64</v>
      </c>
      <c r="V2321">
        <v>1.08</v>
      </c>
      <c r="W2321">
        <v>2.44</v>
      </c>
      <c r="X2321">
        <v>0.51</v>
      </c>
      <c r="Y2321">
        <v>0.78</v>
      </c>
      <c r="Z2321">
        <v>0.23</v>
      </c>
      <c r="AA2321">
        <v>6.31</v>
      </c>
      <c r="AB2321">
        <v>5.44</v>
      </c>
      <c r="AC2321">
        <v>1.1599999999999999</v>
      </c>
      <c r="AD2321">
        <v>5.12</v>
      </c>
      <c r="AE2321">
        <v>7.85</v>
      </c>
      <c r="AF2321">
        <v>4.3516666666666666</v>
      </c>
      <c r="AG2321" t="str">
        <f>HYPERLINK("https://finance.naver.com/item/fchart.naver?code=016920", "카스 차트보기")</f>
        <v>카스 차트보기</v>
      </c>
    </row>
    <row r="2322" spans="1:33" x14ac:dyDescent="0.3">
      <c r="A2322" t="s">
        <v>9315</v>
      </c>
      <c r="B2322" t="s">
        <v>55</v>
      </c>
      <c r="C2322" t="s">
        <v>9316</v>
      </c>
      <c r="D2322">
        <v>11786.76</v>
      </c>
      <c r="E2322" t="s">
        <v>9317</v>
      </c>
      <c r="F2322">
        <v>7.36</v>
      </c>
      <c r="G2322">
        <v>1.169999957084656</v>
      </c>
      <c r="H2322">
        <v>891</v>
      </c>
      <c r="I2322">
        <v>8.0799999237060547</v>
      </c>
      <c r="J2322" t="s">
        <v>9318</v>
      </c>
      <c r="K2322">
        <v>6690</v>
      </c>
      <c r="L2322">
        <v>6560</v>
      </c>
      <c r="M2322">
        <v>-1.94</v>
      </c>
      <c r="N2322">
        <v>-0.46</v>
      </c>
      <c r="O2322">
        <v>2.64</v>
      </c>
      <c r="P2322">
        <v>-1.08</v>
      </c>
      <c r="Q2322">
        <v>-1.95</v>
      </c>
      <c r="R2322">
        <v>0.76</v>
      </c>
      <c r="S2322">
        <v>-1.8</v>
      </c>
      <c r="T2322">
        <v>0.56000000000000005</v>
      </c>
      <c r="U2322">
        <v>0.33</v>
      </c>
      <c r="V2322">
        <v>0.41</v>
      </c>
      <c r="W2322">
        <v>0.86</v>
      </c>
      <c r="X2322">
        <v>0.26</v>
      </c>
      <c r="Y2322">
        <v>0.19</v>
      </c>
      <c r="Z2322">
        <v>0.82</v>
      </c>
      <c r="AA2322">
        <v>8</v>
      </c>
      <c r="AB2322">
        <v>2.63</v>
      </c>
      <c r="AC2322">
        <v>2.27</v>
      </c>
      <c r="AD2322">
        <v>2.92</v>
      </c>
      <c r="AE2322">
        <v>9.4700000000000006</v>
      </c>
      <c r="AF2322">
        <v>4.3516666666666666</v>
      </c>
      <c r="AG2322" t="str">
        <f>HYPERLINK("https://finance.naver.com/item/fchart.naver?code=040420", "정상제이엘에스 차트보기")</f>
        <v>정상제이엘에스 차트보기</v>
      </c>
    </row>
    <row r="2323" spans="1:33" x14ac:dyDescent="0.3">
      <c r="A2323" t="s">
        <v>9319</v>
      </c>
      <c r="B2323" t="s">
        <v>55</v>
      </c>
      <c r="C2323" t="s">
        <v>9320</v>
      </c>
      <c r="D2323">
        <v>13358.62</v>
      </c>
      <c r="E2323" t="s">
        <v>9321</v>
      </c>
      <c r="F2323">
        <v>11.83</v>
      </c>
      <c r="G2323">
        <v>1.320000052452087</v>
      </c>
      <c r="H2323">
        <v>649</v>
      </c>
      <c r="I2323">
        <v>0</v>
      </c>
      <c r="J2323" t="s">
        <v>9322</v>
      </c>
      <c r="K2323">
        <v>11810</v>
      </c>
      <c r="L2323">
        <v>7680</v>
      </c>
      <c r="M2323">
        <v>-34.97</v>
      </c>
      <c r="N2323">
        <v>-6.68</v>
      </c>
      <c r="O2323">
        <v>-6.68</v>
      </c>
      <c r="P2323">
        <v>0.11</v>
      </c>
      <c r="Q2323">
        <v>-8.89</v>
      </c>
      <c r="R2323">
        <v>-14.41</v>
      </c>
      <c r="S2323">
        <v>-3.03</v>
      </c>
      <c r="T2323">
        <v>1.05</v>
      </c>
      <c r="U2323">
        <v>0.85</v>
      </c>
      <c r="V2323">
        <v>2.19</v>
      </c>
      <c r="W2323">
        <v>3.69</v>
      </c>
      <c r="X2323">
        <v>1.93</v>
      </c>
      <c r="Y2323">
        <v>1.51</v>
      </c>
      <c r="Z2323">
        <v>6.36</v>
      </c>
      <c r="AA2323">
        <v>7.86</v>
      </c>
      <c r="AB2323">
        <v>0.05</v>
      </c>
      <c r="AC2323">
        <v>2.41</v>
      </c>
      <c r="AD2323">
        <v>7.47</v>
      </c>
      <c r="AE2323">
        <v>2.0099999999999998</v>
      </c>
      <c r="AF2323">
        <v>4.3599999999999994</v>
      </c>
      <c r="AG2323" t="str">
        <f>HYPERLINK("https://finance.naver.com/item/fchart.naver?code=415380", "스튜디오삼익 차트보기")</f>
        <v>스튜디오삼익 차트보기</v>
      </c>
    </row>
    <row r="2324" spans="1:33" x14ac:dyDescent="0.3">
      <c r="A2324" t="s">
        <v>9323</v>
      </c>
      <c r="B2324" t="s">
        <v>55</v>
      </c>
      <c r="C2324" t="s">
        <v>9324</v>
      </c>
      <c r="D2324">
        <v>49533.38</v>
      </c>
      <c r="E2324" t="s">
        <v>9325</v>
      </c>
      <c r="F2324">
        <v>0</v>
      </c>
      <c r="G2324">
        <v>2.160000085830688</v>
      </c>
      <c r="H2324">
        <v>0</v>
      </c>
      <c r="I2324">
        <v>0</v>
      </c>
      <c r="J2324" t="s">
        <v>9326</v>
      </c>
      <c r="K2324">
        <v>12690</v>
      </c>
      <c r="L2324">
        <v>8510</v>
      </c>
      <c r="M2324">
        <v>-32.94</v>
      </c>
      <c r="N2324">
        <v>-6.38</v>
      </c>
      <c r="O2324">
        <v>-11.79</v>
      </c>
      <c r="P2324">
        <v>16.3</v>
      </c>
      <c r="Q2324">
        <v>-9.32</v>
      </c>
      <c r="R2324">
        <v>6.92</v>
      </c>
      <c r="S2324">
        <v>-17.05</v>
      </c>
      <c r="T2324">
        <v>1.1599999999999999</v>
      </c>
      <c r="U2324">
        <v>2.38</v>
      </c>
      <c r="V2324">
        <v>3.26</v>
      </c>
      <c r="W2324">
        <v>4.78</v>
      </c>
      <c r="X2324">
        <v>3.61</v>
      </c>
      <c r="Y2324">
        <v>2.48</v>
      </c>
      <c r="Z2324">
        <v>5.5</v>
      </c>
      <c r="AA2324">
        <v>4.95</v>
      </c>
      <c r="AB2324">
        <v>5</v>
      </c>
      <c r="AC2324">
        <v>1.95</v>
      </c>
      <c r="AD2324">
        <v>1.92</v>
      </c>
      <c r="AE2324">
        <v>6.88</v>
      </c>
      <c r="AF2324">
        <v>4.3666666666666663</v>
      </c>
      <c r="AG2324" t="str">
        <f>HYPERLINK("https://finance.naver.com/item/fchart.naver?code=186230", "그린플러스 차트보기")</f>
        <v>그린플러스 차트보기</v>
      </c>
    </row>
    <row r="2325" spans="1:33" x14ac:dyDescent="0.3">
      <c r="A2325" t="s">
        <v>9327</v>
      </c>
      <c r="B2325" t="s">
        <v>34</v>
      </c>
      <c r="C2325" t="s">
        <v>9328</v>
      </c>
      <c r="D2325">
        <v>8403.6200000000008</v>
      </c>
      <c r="E2325" t="s">
        <v>9329</v>
      </c>
      <c r="F2325">
        <v>0</v>
      </c>
      <c r="G2325">
        <v>0</v>
      </c>
      <c r="H2325">
        <v>0</v>
      </c>
      <c r="I2325">
        <v>2.7300000190734859</v>
      </c>
      <c r="J2325" t="s">
        <v>9330</v>
      </c>
      <c r="K2325">
        <v>12090</v>
      </c>
      <c r="L2325">
        <v>9150</v>
      </c>
      <c r="M2325">
        <v>-24.32</v>
      </c>
      <c r="N2325">
        <v>-0.22</v>
      </c>
      <c r="O2325">
        <v>-8.1</v>
      </c>
      <c r="P2325">
        <v>4.38</v>
      </c>
      <c r="Q2325">
        <v>-16.29</v>
      </c>
      <c r="R2325">
        <v>-1.1399999999999999</v>
      </c>
      <c r="S2325">
        <v>-9.67</v>
      </c>
      <c r="T2325">
        <v>0.78</v>
      </c>
      <c r="U2325">
        <v>0.76</v>
      </c>
      <c r="V2325">
        <v>1.18</v>
      </c>
      <c r="W2325">
        <v>3.3</v>
      </c>
      <c r="X2325">
        <v>1.44</v>
      </c>
      <c r="Y2325">
        <v>1.66</v>
      </c>
      <c r="Z2325">
        <v>0.28000000000000003</v>
      </c>
      <c r="AA2325">
        <v>10.66</v>
      </c>
      <c r="AB2325">
        <v>3.71</v>
      </c>
      <c r="AC2325">
        <v>4.9400000000000004</v>
      </c>
      <c r="AD2325">
        <v>0.79</v>
      </c>
      <c r="AE2325">
        <v>5.83</v>
      </c>
      <c r="AF2325">
        <v>4.3683333333333332</v>
      </c>
      <c r="AG2325" t="str">
        <f>HYPERLINK("https://finance.naver.com/item/fchart.naver?code=002795", "아모레G우 차트보기")</f>
        <v>아모레G우 차트보기</v>
      </c>
    </row>
    <row r="2326" spans="1:33" x14ac:dyDescent="0.3">
      <c r="A2326" t="s">
        <v>9331</v>
      </c>
      <c r="B2326" t="s">
        <v>55</v>
      </c>
      <c r="C2326" t="s">
        <v>9332</v>
      </c>
      <c r="D2326">
        <v>1579652.95</v>
      </c>
      <c r="E2326" t="s">
        <v>9333</v>
      </c>
      <c r="F2326">
        <v>0</v>
      </c>
      <c r="G2326">
        <v>0.5</v>
      </c>
      <c r="H2326">
        <v>0</v>
      </c>
      <c r="I2326">
        <v>0</v>
      </c>
      <c r="J2326" t="s">
        <v>9334</v>
      </c>
      <c r="K2326">
        <v>423</v>
      </c>
      <c r="L2326">
        <v>334</v>
      </c>
      <c r="M2326">
        <v>-21.04</v>
      </c>
      <c r="N2326">
        <v>-11.41</v>
      </c>
      <c r="O2326">
        <v>-42.9</v>
      </c>
      <c r="P2326">
        <v>-10.89</v>
      </c>
      <c r="Q2326">
        <v>50.3</v>
      </c>
      <c r="R2326">
        <v>-22.09</v>
      </c>
      <c r="S2326">
        <v>-9.89</v>
      </c>
      <c r="T2326">
        <v>5.93</v>
      </c>
      <c r="U2326">
        <v>4.91</v>
      </c>
      <c r="V2326">
        <v>14.56</v>
      </c>
      <c r="W2326">
        <v>12.81</v>
      </c>
      <c r="X2326">
        <v>2.94</v>
      </c>
      <c r="Y2326">
        <v>2.93</v>
      </c>
      <c r="Z2326">
        <v>1.92</v>
      </c>
      <c r="AA2326">
        <v>8.74</v>
      </c>
      <c r="AB2326">
        <v>0.75</v>
      </c>
      <c r="AC2326">
        <v>3.93</v>
      </c>
      <c r="AD2326">
        <v>7.51</v>
      </c>
      <c r="AE2326">
        <v>3.38</v>
      </c>
      <c r="AF2326">
        <v>4.371666666666667</v>
      </c>
      <c r="AG2326" t="str">
        <f>HYPERLINK("https://finance.naver.com/item/fchart.naver?code=043090", "더테크놀로지 차트보기")</f>
        <v>더테크놀로지 차트보기</v>
      </c>
    </row>
    <row r="2327" spans="1:33" x14ac:dyDescent="0.3">
      <c r="A2327" t="s">
        <v>9335</v>
      </c>
      <c r="B2327" t="s">
        <v>55</v>
      </c>
      <c r="C2327" t="s">
        <v>9336</v>
      </c>
      <c r="D2327">
        <v>9695.52</v>
      </c>
      <c r="E2327" t="s">
        <v>9337</v>
      </c>
      <c r="F2327">
        <v>12.14</v>
      </c>
      <c r="G2327">
        <v>0.62999999523162842</v>
      </c>
      <c r="H2327">
        <v>660</v>
      </c>
      <c r="I2327">
        <v>1.870000004768372</v>
      </c>
      <c r="J2327" t="s">
        <v>9338</v>
      </c>
      <c r="K2327">
        <v>13310</v>
      </c>
      <c r="L2327">
        <v>8010</v>
      </c>
      <c r="M2327">
        <v>-39.82</v>
      </c>
      <c r="N2327">
        <v>-10.199999999999999</v>
      </c>
      <c r="O2327">
        <v>-3.82</v>
      </c>
      <c r="P2327">
        <v>-9.1199999999999992</v>
      </c>
      <c r="Q2327">
        <v>0.37</v>
      </c>
      <c r="R2327">
        <v>-5.35</v>
      </c>
      <c r="S2327">
        <v>-10.77</v>
      </c>
      <c r="T2327">
        <v>4.16</v>
      </c>
      <c r="U2327">
        <v>0.66</v>
      </c>
      <c r="V2327">
        <v>2.61</v>
      </c>
      <c r="W2327">
        <v>4.51</v>
      </c>
      <c r="X2327">
        <v>1.25</v>
      </c>
      <c r="Y2327">
        <v>1.06</v>
      </c>
      <c r="Z2327">
        <v>2.4500000000000002</v>
      </c>
      <c r="AA2327">
        <v>5.79</v>
      </c>
      <c r="AB2327">
        <v>3.49</v>
      </c>
      <c r="AC2327">
        <v>0.08</v>
      </c>
      <c r="AD2327">
        <v>4.28</v>
      </c>
      <c r="AE2327">
        <v>10.16</v>
      </c>
      <c r="AF2327">
        <v>4.375</v>
      </c>
      <c r="AG2327" t="str">
        <f>HYPERLINK("https://finance.naver.com/item/fchart.naver?code=192250", "케이사인 차트보기")</f>
        <v>케이사인 차트보기</v>
      </c>
    </row>
    <row r="2328" spans="1:33" x14ac:dyDescent="0.3">
      <c r="A2328" t="s">
        <v>9339</v>
      </c>
      <c r="B2328" t="s">
        <v>34</v>
      </c>
      <c r="C2328" t="s">
        <v>9340</v>
      </c>
      <c r="D2328">
        <v>3571.9</v>
      </c>
      <c r="E2328" t="s">
        <v>9341</v>
      </c>
      <c r="F2328">
        <v>0</v>
      </c>
      <c r="G2328">
        <v>0</v>
      </c>
      <c r="H2328">
        <v>0</v>
      </c>
      <c r="I2328">
        <v>4.1700000762939453</v>
      </c>
      <c r="J2328" t="s">
        <v>9342</v>
      </c>
      <c r="K2328">
        <v>47800</v>
      </c>
      <c r="L2328">
        <v>41350</v>
      </c>
      <c r="M2328">
        <v>-13.49</v>
      </c>
      <c r="N2328">
        <v>-0.24</v>
      </c>
      <c r="O2328">
        <v>-1.19</v>
      </c>
      <c r="P2328">
        <v>-3.45</v>
      </c>
      <c r="Q2328">
        <v>-3.33</v>
      </c>
      <c r="R2328">
        <v>-3.23</v>
      </c>
      <c r="S2328">
        <v>-2.93</v>
      </c>
      <c r="T2328">
        <v>0.57999999999999996</v>
      </c>
      <c r="U2328">
        <v>0.79</v>
      </c>
      <c r="V2328">
        <v>0.91</v>
      </c>
      <c r="W2328">
        <v>1.34</v>
      </c>
      <c r="X2328">
        <v>0.27</v>
      </c>
      <c r="Y2328">
        <v>0.48</v>
      </c>
      <c r="Z2328">
        <v>0.41</v>
      </c>
      <c r="AA2328">
        <v>1.51</v>
      </c>
      <c r="AB2328">
        <v>3.79</v>
      </c>
      <c r="AC2328">
        <v>2.4900000000000002</v>
      </c>
      <c r="AD2328">
        <v>11.96</v>
      </c>
      <c r="AE2328">
        <v>6.1</v>
      </c>
      <c r="AF2328">
        <v>4.376666666666666</v>
      </c>
      <c r="AG2328" t="str">
        <f>HYPERLINK("https://finance.naver.com/item/fchart.naver?code=010955", "S-Oil우 차트보기")</f>
        <v>S-Oil우 차트보기</v>
      </c>
    </row>
    <row r="2329" spans="1:33" x14ac:dyDescent="0.3">
      <c r="A2329" t="s">
        <v>9343</v>
      </c>
      <c r="B2329" t="s">
        <v>34</v>
      </c>
      <c r="C2329" t="s">
        <v>9344</v>
      </c>
      <c r="D2329">
        <v>226377</v>
      </c>
      <c r="E2329" t="s">
        <v>9345</v>
      </c>
      <c r="F2329">
        <v>13.56</v>
      </c>
      <c r="G2329">
        <v>0.60000002384185791</v>
      </c>
      <c r="H2329">
        <v>725</v>
      </c>
      <c r="I2329">
        <v>1.0199999809265139</v>
      </c>
      <c r="J2329" t="s">
        <v>9346</v>
      </c>
      <c r="K2329">
        <v>14970</v>
      </c>
      <c r="L2329">
        <v>9830</v>
      </c>
      <c r="M2329">
        <v>-34.340000000000003</v>
      </c>
      <c r="N2329">
        <v>-6.11</v>
      </c>
      <c r="O2329">
        <v>-11.02</v>
      </c>
      <c r="P2329">
        <v>6.63</v>
      </c>
      <c r="Q2329">
        <v>-7.29</v>
      </c>
      <c r="R2329">
        <v>-17.079999999999998</v>
      </c>
      <c r="S2329">
        <v>-0.91</v>
      </c>
      <c r="T2329">
        <v>1.4</v>
      </c>
      <c r="U2329">
        <v>1.7</v>
      </c>
      <c r="V2329">
        <v>2.1800000000000002</v>
      </c>
      <c r="W2329">
        <v>3.12</v>
      </c>
      <c r="X2329">
        <v>1.77</v>
      </c>
      <c r="Y2329">
        <v>2.17</v>
      </c>
      <c r="Z2329">
        <v>4.3600000000000003</v>
      </c>
      <c r="AA2329">
        <v>6.48</v>
      </c>
      <c r="AB2329">
        <v>3.04</v>
      </c>
      <c r="AC2329">
        <v>2.34</v>
      </c>
      <c r="AD2329">
        <v>9.65</v>
      </c>
      <c r="AE2329">
        <v>0.42</v>
      </c>
      <c r="AF2329">
        <v>4.3816666666666668</v>
      </c>
      <c r="AG2329" t="str">
        <f>HYPERLINK("https://finance.naver.com/item/fchart.naver?code=034230", "파라다이스 차트보기")</f>
        <v>파라다이스 차트보기</v>
      </c>
    </row>
    <row r="2330" spans="1:33" x14ac:dyDescent="0.3">
      <c r="A2330" t="s">
        <v>9347</v>
      </c>
      <c r="B2330" t="s">
        <v>34</v>
      </c>
      <c r="C2330" t="s">
        <v>9348</v>
      </c>
      <c r="D2330">
        <v>60568.480000000003</v>
      </c>
      <c r="E2330" t="s">
        <v>9349</v>
      </c>
      <c r="F2330">
        <v>7.25</v>
      </c>
      <c r="G2330">
        <v>0.52999997138977051</v>
      </c>
      <c r="H2330">
        <v>650</v>
      </c>
      <c r="I2330">
        <v>2.119999885559082</v>
      </c>
      <c r="J2330" t="s">
        <v>9350</v>
      </c>
      <c r="K2330">
        <v>5380</v>
      </c>
      <c r="L2330">
        <v>4710</v>
      </c>
      <c r="M2330">
        <v>-12.45</v>
      </c>
      <c r="N2330">
        <v>-6.55</v>
      </c>
      <c r="O2330">
        <v>-3.75</v>
      </c>
      <c r="P2330">
        <v>3.29</v>
      </c>
      <c r="Q2330">
        <v>13.95</v>
      </c>
      <c r="R2330">
        <v>-13.39</v>
      </c>
      <c r="S2330">
        <v>-3.66</v>
      </c>
      <c r="T2330">
        <v>3.14</v>
      </c>
      <c r="U2330">
        <v>1.7</v>
      </c>
      <c r="V2330">
        <v>2.52</v>
      </c>
      <c r="W2330">
        <v>4.01</v>
      </c>
      <c r="X2330">
        <v>0.97</v>
      </c>
      <c r="Y2330">
        <v>1.07</v>
      </c>
      <c r="Z2330">
        <v>2.09</v>
      </c>
      <c r="AA2330">
        <v>2.21</v>
      </c>
      <c r="AB2330">
        <v>1.31</v>
      </c>
      <c r="AC2330">
        <v>3.48</v>
      </c>
      <c r="AD2330">
        <v>13.8</v>
      </c>
      <c r="AE2330">
        <v>3.42</v>
      </c>
      <c r="AF2330">
        <v>4.3850000000000007</v>
      </c>
      <c r="AG2330" t="str">
        <f>HYPERLINK("https://finance.naver.com/item/fchart.naver?code=004250", "NPC 차트보기")</f>
        <v>NPC 차트보기</v>
      </c>
    </row>
    <row r="2331" spans="1:33" x14ac:dyDescent="0.3">
      <c r="A2331" t="s">
        <v>9351</v>
      </c>
      <c r="B2331" t="s">
        <v>55</v>
      </c>
      <c r="C2331" t="s">
        <v>9352</v>
      </c>
      <c r="D2331">
        <v>167691.67000000001</v>
      </c>
      <c r="E2331" t="s">
        <v>9353</v>
      </c>
      <c r="F2331">
        <v>10.54</v>
      </c>
      <c r="G2331">
        <v>2.529999971389771</v>
      </c>
      <c r="H2331">
        <v>4784</v>
      </c>
      <c r="I2331">
        <v>0.30000001192092901</v>
      </c>
      <c r="J2331" t="s">
        <v>9354</v>
      </c>
      <c r="K2331">
        <v>53900</v>
      </c>
      <c r="L2331">
        <v>50400</v>
      </c>
      <c r="M2331">
        <v>-6.49</v>
      </c>
      <c r="N2331">
        <v>27.76</v>
      </c>
      <c r="O2331">
        <v>19.72</v>
      </c>
      <c r="P2331">
        <v>-2.19</v>
      </c>
      <c r="Q2331">
        <v>-15.5</v>
      </c>
      <c r="R2331">
        <v>-22.26</v>
      </c>
      <c r="S2331">
        <v>8.89</v>
      </c>
      <c r="T2331">
        <v>5.05</v>
      </c>
      <c r="U2331">
        <v>2.76</v>
      </c>
      <c r="V2331">
        <v>2.06</v>
      </c>
      <c r="W2331">
        <v>3.28</v>
      </c>
      <c r="X2331">
        <v>4.55</v>
      </c>
      <c r="Y2331">
        <v>2.96</v>
      </c>
      <c r="Z2331">
        <v>5.5</v>
      </c>
      <c r="AA2331">
        <v>7.14</v>
      </c>
      <c r="AB2331">
        <v>1.06</v>
      </c>
      <c r="AC2331">
        <v>4.7300000000000004</v>
      </c>
      <c r="AD2331">
        <v>4.8899999999999997</v>
      </c>
      <c r="AE2331">
        <v>3</v>
      </c>
      <c r="AF2331">
        <v>4.3866666666666667</v>
      </c>
      <c r="AG2331" t="str">
        <f>HYPERLINK("https://finance.naver.com/item/fchart.naver?code=099320", "쎄트렉아이 차트보기")</f>
        <v>쎄트렉아이 차트보기</v>
      </c>
    </row>
    <row r="2332" spans="1:33" x14ac:dyDescent="0.3">
      <c r="A2332" t="s">
        <v>9355</v>
      </c>
      <c r="B2332" t="s">
        <v>34</v>
      </c>
      <c r="C2332" t="s">
        <v>9356</v>
      </c>
      <c r="D2332">
        <v>1318780.52</v>
      </c>
      <c r="E2332" t="s">
        <v>9357</v>
      </c>
      <c r="F2332">
        <v>0</v>
      </c>
      <c r="G2332">
        <v>1.570000052452087</v>
      </c>
      <c r="H2332">
        <v>0</v>
      </c>
      <c r="I2332">
        <v>0</v>
      </c>
      <c r="J2332" t="s">
        <v>9358</v>
      </c>
      <c r="K2332">
        <v>665</v>
      </c>
      <c r="L2332">
        <v>829</v>
      </c>
      <c r="M2332">
        <v>24.66</v>
      </c>
      <c r="N2332">
        <v>20.85</v>
      </c>
      <c r="O2332">
        <v>17.47</v>
      </c>
      <c r="P2332">
        <v>4.67</v>
      </c>
      <c r="Q2332">
        <v>-16.96</v>
      </c>
      <c r="R2332">
        <v>37.229999999999997</v>
      </c>
      <c r="S2332">
        <v>-13.92</v>
      </c>
      <c r="T2332">
        <v>9.75</v>
      </c>
      <c r="U2332">
        <v>4.1500000000000004</v>
      </c>
      <c r="V2332">
        <v>4.7300000000000004</v>
      </c>
      <c r="W2332">
        <v>5.6</v>
      </c>
      <c r="X2332">
        <v>9.6300000000000008</v>
      </c>
      <c r="Y2332">
        <v>1.1499999999999999</v>
      </c>
      <c r="Z2332">
        <v>2.14</v>
      </c>
      <c r="AA2332">
        <v>4.21</v>
      </c>
      <c r="AB2332">
        <v>0.99</v>
      </c>
      <c r="AC2332">
        <v>3.03</v>
      </c>
      <c r="AD2332">
        <v>3.87</v>
      </c>
      <c r="AE2332">
        <v>12.1</v>
      </c>
      <c r="AF2332">
        <v>4.3899999999999997</v>
      </c>
      <c r="AG2332" t="str">
        <f>HYPERLINK("https://finance.naver.com/item/fchart.naver?code=014990", "인디에프 차트보기")</f>
        <v>인디에프 차트보기</v>
      </c>
    </row>
    <row r="2333" spans="1:33" x14ac:dyDescent="0.3">
      <c r="A2333" t="s">
        <v>9359</v>
      </c>
      <c r="B2333" t="s">
        <v>34</v>
      </c>
      <c r="C2333" t="s">
        <v>9360</v>
      </c>
      <c r="D2333">
        <v>5290.86</v>
      </c>
      <c r="E2333" t="s">
        <v>9361</v>
      </c>
      <c r="F2333">
        <v>0</v>
      </c>
      <c r="G2333">
        <v>0</v>
      </c>
      <c r="H2333">
        <v>0</v>
      </c>
      <c r="I2333">
        <v>3.720000028610229</v>
      </c>
      <c r="J2333" t="s">
        <v>9362</v>
      </c>
      <c r="K2333">
        <v>23650</v>
      </c>
      <c r="L2333">
        <v>17930</v>
      </c>
      <c r="M2333">
        <v>-24.19</v>
      </c>
      <c r="N2333">
        <v>-1.48</v>
      </c>
      <c r="O2333">
        <v>-10.210000000000001</v>
      </c>
      <c r="P2333">
        <v>6.03</v>
      </c>
      <c r="Q2333">
        <v>-11.51</v>
      </c>
      <c r="R2333">
        <v>-4.0199999999999996</v>
      </c>
      <c r="S2333">
        <v>-5.7</v>
      </c>
      <c r="T2333">
        <v>1.54</v>
      </c>
      <c r="U2333">
        <v>0.84</v>
      </c>
      <c r="V2333">
        <v>1.27</v>
      </c>
      <c r="W2333">
        <v>3.14</v>
      </c>
      <c r="X2333">
        <v>1.94</v>
      </c>
      <c r="Y2333">
        <v>2.06</v>
      </c>
      <c r="Z2333">
        <v>0.96</v>
      </c>
      <c r="AA2333">
        <v>12.15</v>
      </c>
      <c r="AB2333">
        <v>4.75</v>
      </c>
      <c r="AC2333">
        <v>3.67</v>
      </c>
      <c r="AD2333">
        <v>2.0699999999999998</v>
      </c>
      <c r="AE2333">
        <v>2.77</v>
      </c>
      <c r="AF2333">
        <v>4.3949999999999996</v>
      </c>
      <c r="AG2333" t="str">
        <f>HYPERLINK("https://finance.naver.com/item/fchart.naver?code=00279K", "아모레G3우(전환) 차트보기")</f>
        <v>아모레G3우(전환) 차트보기</v>
      </c>
    </row>
    <row r="2334" spans="1:33" x14ac:dyDescent="0.3">
      <c r="A2334" t="s">
        <v>9363</v>
      </c>
      <c r="B2334" t="s">
        <v>34</v>
      </c>
      <c r="C2334" t="s">
        <v>9364</v>
      </c>
      <c r="D2334">
        <v>12630184.9</v>
      </c>
      <c r="E2334" t="s">
        <v>9365</v>
      </c>
      <c r="F2334">
        <v>14.19</v>
      </c>
      <c r="G2334">
        <v>1.879999995231628</v>
      </c>
      <c r="H2334">
        <v>340</v>
      </c>
      <c r="I2334">
        <v>0</v>
      </c>
      <c r="J2334" t="s">
        <v>9366</v>
      </c>
      <c r="K2334">
        <v>3955</v>
      </c>
      <c r="L2334">
        <v>4825</v>
      </c>
      <c r="M2334">
        <v>22</v>
      </c>
      <c r="N2334">
        <v>-12.11</v>
      </c>
      <c r="O2334">
        <v>106.88</v>
      </c>
      <c r="P2334">
        <v>0</v>
      </c>
      <c r="Q2334">
        <v>-13.13</v>
      </c>
      <c r="R2334">
        <v>-8.24</v>
      </c>
      <c r="S2334">
        <v>-6.82</v>
      </c>
      <c r="T2334">
        <v>5.45</v>
      </c>
      <c r="U2334">
        <v>11.18</v>
      </c>
      <c r="V2334">
        <v>3.52</v>
      </c>
      <c r="W2334">
        <v>2.75</v>
      </c>
      <c r="X2334">
        <v>1.82</v>
      </c>
      <c r="Y2334">
        <v>1.29</v>
      </c>
      <c r="Z2334">
        <v>2.2200000000000002</v>
      </c>
      <c r="AA2334">
        <v>9.56</v>
      </c>
      <c r="AB2334">
        <v>0</v>
      </c>
      <c r="AC2334">
        <v>4.7699999999999996</v>
      </c>
      <c r="AD2334">
        <v>4.53</v>
      </c>
      <c r="AE2334">
        <v>5.29</v>
      </c>
      <c r="AF2334">
        <v>4.3949999999999996</v>
      </c>
      <c r="AG2334" t="str">
        <f>HYPERLINK("https://finance.naver.com/item/fchart.naver?code=037270", "YG PLUS 차트보기")</f>
        <v>YG PLUS 차트보기</v>
      </c>
    </row>
    <row r="2335" spans="1:33" x14ac:dyDescent="0.3">
      <c r="A2335" t="s">
        <v>9367</v>
      </c>
      <c r="B2335" t="s">
        <v>55</v>
      </c>
      <c r="C2335" t="s">
        <v>9368</v>
      </c>
      <c r="D2335">
        <v>66708.95</v>
      </c>
      <c r="E2335" t="s">
        <v>9369</v>
      </c>
      <c r="F2335">
        <v>0</v>
      </c>
      <c r="G2335">
        <v>0.6600000262260437</v>
      </c>
      <c r="H2335">
        <v>0</v>
      </c>
      <c r="I2335">
        <v>0</v>
      </c>
      <c r="J2335" t="s">
        <v>9370</v>
      </c>
      <c r="K2335">
        <v>1530</v>
      </c>
      <c r="L2335">
        <v>1068</v>
      </c>
      <c r="M2335">
        <v>-30.2</v>
      </c>
      <c r="N2335">
        <v>-4.04</v>
      </c>
      <c r="O2335">
        <v>-13.96</v>
      </c>
      <c r="P2335">
        <v>-7.14</v>
      </c>
      <c r="Q2335">
        <v>-11.26</v>
      </c>
      <c r="R2335">
        <v>21.21</v>
      </c>
      <c r="S2335">
        <v>-14.75</v>
      </c>
      <c r="T2335">
        <v>1.9</v>
      </c>
      <c r="U2335">
        <v>1.58</v>
      </c>
      <c r="V2335">
        <v>1.77</v>
      </c>
      <c r="W2335">
        <v>5.17</v>
      </c>
      <c r="X2335">
        <v>8.59</v>
      </c>
      <c r="Y2335">
        <v>2.1800000000000002</v>
      </c>
      <c r="Z2335">
        <v>2.13</v>
      </c>
      <c r="AA2335">
        <v>8.84</v>
      </c>
      <c r="AB2335">
        <v>4.03</v>
      </c>
      <c r="AC2335">
        <v>2.1800000000000002</v>
      </c>
      <c r="AD2335">
        <v>2.4700000000000002</v>
      </c>
      <c r="AE2335">
        <v>6.77</v>
      </c>
      <c r="AF2335">
        <v>4.4033333333333333</v>
      </c>
      <c r="AG2335" t="str">
        <f>HYPERLINK("https://finance.naver.com/item/fchart.naver?code=088290", "이원컴포텍 차트보기")</f>
        <v>이원컴포텍 차트보기</v>
      </c>
    </row>
    <row r="2336" spans="1:33" x14ac:dyDescent="0.3">
      <c r="A2336" t="s">
        <v>9371</v>
      </c>
      <c r="B2336" t="s">
        <v>34</v>
      </c>
      <c r="C2336" t="s">
        <v>9372</v>
      </c>
      <c r="D2336">
        <v>1135.95</v>
      </c>
      <c r="E2336" t="s">
        <v>9373</v>
      </c>
      <c r="F2336">
        <v>3.05</v>
      </c>
      <c r="G2336">
        <v>0.40000000596046448</v>
      </c>
      <c r="H2336">
        <v>31492</v>
      </c>
      <c r="I2336">
        <v>2.910000085830688</v>
      </c>
      <c r="J2336" t="s">
        <v>9374</v>
      </c>
      <c r="K2336">
        <v>80300</v>
      </c>
      <c r="L2336">
        <v>96100</v>
      </c>
      <c r="M2336">
        <v>19.68</v>
      </c>
      <c r="N2336">
        <v>1.69</v>
      </c>
      <c r="O2336">
        <v>5.08</v>
      </c>
      <c r="P2336">
        <v>2.5499999999999998</v>
      </c>
      <c r="Q2336">
        <v>4.37</v>
      </c>
      <c r="R2336">
        <v>10.75</v>
      </c>
      <c r="S2336">
        <v>-8.32</v>
      </c>
      <c r="T2336">
        <v>1.51</v>
      </c>
      <c r="U2336">
        <v>2.42</v>
      </c>
      <c r="V2336">
        <v>0.85</v>
      </c>
      <c r="W2336">
        <v>2</v>
      </c>
      <c r="X2336">
        <v>0.93</v>
      </c>
      <c r="Y2336">
        <v>1.29</v>
      </c>
      <c r="Z2336">
        <v>1.1200000000000001</v>
      </c>
      <c r="AA2336">
        <v>2.1</v>
      </c>
      <c r="AB2336">
        <v>3</v>
      </c>
      <c r="AC2336">
        <v>2.19</v>
      </c>
      <c r="AD2336">
        <v>11.56</v>
      </c>
      <c r="AE2336">
        <v>6.45</v>
      </c>
      <c r="AF2336">
        <v>4.4033333333333333</v>
      </c>
      <c r="AG2336" t="str">
        <f>HYPERLINK("https://finance.naver.com/item/fchart.naver?code=003650", "미창석유 차트보기")</f>
        <v>미창석유 차트보기</v>
      </c>
    </row>
    <row r="2337" spans="1:33" x14ac:dyDescent="0.3">
      <c r="A2337" t="s">
        <v>9375</v>
      </c>
      <c r="B2337" t="s">
        <v>55</v>
      </c>
      <c r="C2337" t="s">
        <v>9376</v>
      </c>
      <c r="D2337">
        <v>739248.14</v>
      </c>
      <c r="E2337" t="s">
        <v>9377</v>
      </c>
      <c r="F2337">
        <v>2.98</v>
      </c>
      <c r="G2337">
        <v>1.0199999809265139</v>
      </c>
      <c r="H2337">
        <v>1137</v>
      </c>
      <c r="I2337">
        <v>0.88999998569488525</v>
      </c>
      <c r="J2337" t="s">
        <v>9378</v>
      </c>
      <c r="K2337">
        <v>7120</v>
      </c>
      <c r="L2337">
        <v>3385</v>
      </c>
      <c r="M2337">
        <v>-52.46</v>
      </c>
      <c r="N2337">
        <v>-7.26</v>
      </c>
      <c r="O2337">
        <v>-13.38</v>
      </c>
      <c r="P2337">
        <v>-0.34</v>
      </c>
      <c r="Q2337">
        <v>-19.670000000000002</v>
      </c>
      <c r="R2337">
        <v>-46.4</v>
      </c>
      <c r="S2337">
        <v>37.53</v>
      </c>
      <c r="T2337">
        <v>2.99</v>
      </c>
      <c r="U2337">
        <v>2.97</v>
      </c>
      <c r="V2337">
        <v>3.18</v>
      </c>
      <c r="W2337">
        <v>4.51</v>
      </c>
      <c r="X2337">
        <v>6.62</v>
      </c>
      <c r="Y2337">
        <v>4.6900000000000004</v>
      </c>
      <c r="Z2337">
        <v>2.4300000000000002</v>
      </c>
      <c r="AA2337">
        <v>4.51</v>
      </c>
      <c r="AB2337">
        <v>0.11</v>
      </c>
      <c r="AC2337">
        <v>4.3600000000000003</v>
      </c>
      <c r="AD2337">
        <v>7.01</v>
      </c>
      <c r="AE2337">
        <v>8</v>
      </c>
      <c r="AF2337">
        <v>4.4033333333333333</v>
      </c>
      <c r="AG2337" t="str">
        <f>HYPERLINK("https://finance.naver.com/item/fchart.naver?code=297890", "HB솔루션 차트보기")</f>
        <v>HB솔루션 차트보기</v>
      </c>
    </row>
    <row r="2338" spans="1:33" x14ac:dyDescent="0.3">
      <c r="A2338" t="s">
        <v>9379</v>
      </c>
      <c r="B2338" t="s">
        <v>55</v>
      </c>
      <c r="C2338" t="s">
        <v>9380</v>
      </c>
      <c r="D2338">
        <v>642626.48</v>
      </c>
      <c r="E2338" t="s">
        <v>9381</v>
      </c>
      <c r="F2338">
        <v>0</v>
      </c>
      <c r="G2338">
        <v>0.40999999642372131</v>
      </c>
      <c r="H2338">
        <v>0</v>
      </c>
      <c r="I2338">
        <v>1.370000004768372</v>
      </c>
      <c r="J2338" t="s">
        <v>9382</v>
      </c>
      <c r="K2338">
        <v>11990</v>
      </c>
      <c r="L2338">
        <v>7310</v>
      </c>
      <c r="M2338">
        <v>-39.03</v>
      </c>
      <c r="N2338">
        <v>-8.0500000000000007</v>
      </c>
      <c r="O2338">
        <v>0.13</v>
      </c>
      <c r="P2338">
        <v>-3.38</v>
      </c>
      <c r="Q2338">
        <v>-11.51</v>
      </c>
      <c r="R2338">
        <v>-15.17</v>
      </c>
      <c r="S2338">
        <v>-11.09</v>
      </c>
      <c r="T2338">
        <v>2.19</v>
      </c>
      <c r="U2338">
        <v>3.53</v>
      </c>
      <c r="V2338">
        <v>2.35</v>
      </c>
      <c r="W2338">
        <v>4.74</v>
      </c>
      <c r="X2338">
        <v>1.81</v>
      </c>
      <c r="Y2338">
        <v>1.06</v>
      </c>
      <c r="Z2338">
        <v>3.68</v>
      </c>
      <c r="AA2338">
        <v>0.04</v>
      </c>
      <c r="AB2338">
        <v>1.44</v>
      </c>
      <c r="AC2338">
        <v>2.4300000000000002</v>
      </c>
      <c r="AD2338">
        <v>8.3800000000000008</v>
      </c>
      <c r="AE2338">
        <v>10.46</v>
      </c>
      <c r="AF2338">
        <v>4.4050000000000002</v>
      </c>
      <c r="AG2338" t="str">
        <f>HYPERLINK("https://finance.naver.com/item/fchart.naver?code=033160", "엠케이전자 차트보기")</f>
        <v>엠케이전자 차트보기</v>
      </c>
    </row>
    <row r="2339" spans="1:33" x14ac:dyDescent="0.3">
      <c r="A2339" t="s">
        <v>9383</v>
      </c>
      <c r="B2339" t="s">
        <v>55</v>
      </c>
      <c r="C2339" t="s">
        <v>9384</v>
      </c>
      <c r="D2339">
        <v>11412.9</v>
      </c>
      <c r="E2339" t="s">
        <v>9385</v>
      </c>
      <c r="F2339">
        <v>12</v>
      </c>
      <c r="G2339">
        <v>0.37000000476837158</v>
      </c>
      <c r="H2339">
        <v>103</v>
      </c>
      <c r="I2339">
        <v>0</v>
      </c>
      <c r="J2339" t="s">
        <v>9386</v>
      </c>
      <c r="K2339">
        <v>1528</v>
      </c>
      <c r="L2339">
        <v>1236</v>
      </c>
      <c r="M2339">
        <v>-19.11</v>
      </c>
      <c r="N2339">
        <v>-4.26</v>
      </c>
      <c r="O2339">
        <v>-0.62</v>
      </c>
      <c r="P2339">
        <v>-3.31</v>
      </c>
      <c r="Q2339">
        <v>-5.99</v>
      </c>
      <c r="R2339">
        <v>4.32</v>
      </c>
      <c r="S2339">
        <v>-7.77</v>
      </c>
      <c r="T2339">
        <v>1.42</v>
      </c>
      <c r="U2339">
        <v>1.28</v>
      </c>
      <c r="V2339">
        <v>1.91</v>
      </c>
      <c r="W2339">
        <v>2.12</v>
      </c>
      <c r="X2339">
        <v>1.49</v>
      </c>
      <c r="Y2339">
        <v>0.5</v>
      </c>
      <c r="Z2339">
        <v>3</v>
      </c>
      <c r="AA2339">
        <v>0.48</v>
      </c>
      <c r="AB2339">
        <v>1.73</v>
      </c>
      <c r="AC2339">
        <v>2.83</v>
      </c>
      <c r="AD2339">
        <v>2.9</v>
      </c>
      <c r="AE2339">
        <v>15.54</v>
      </c>
      <c r="AF2339">
        <v>4.4133333333333331</v>
      </c>
      <c r="AG2339" t="str">
        <f>HYPERLINK("https://finance.naver.com/item/fchart.naver?code=044780", "에이치케이 차트보기")</f>
        <v>에이치케이 차트보기</v>
      </c>
    </row>
    <row r="2340" spans="1:33" x14ac:dyDescent="0.3">
      <c r="A2340" t="s">
        <v>9387</v>
      </c>
      <c r="B2340" t="s">
        <v>55</v>
      </c>
      <c r="C2340" t="s">
        <v>9388</v>
      </c>
      <c r="D2340">
        <v>338271.43</v>
      </c>
      <c r="E2340" t="s">
        <v>9389</v>
      </c>
      <c r="F2340">
        <v>0</v>
      </c>
      <c r="G2340">
        <v>1.9900000095367429</v>
      </c>
      <c r="H2340">
        <v>0</v>
      </c>
      <c r="I2340">
        <v>0</v>
      </c>
      <c r="J2340" t="s">
        <v>9390</v>
      </c>
      <c r="K2340">
        <v>12820</v>
      </c>
      <c r="L2340">
        <v>11360</v>
      </c>
      <c r="M2340">
        <v>-11.39</v>
      </c>
      <c r="N2340">
        <v>-9.27</v>
      </c>
      <c r="O2340">
        <v>-17.61</v>
      </c>
      <c r="P2340">
        <v>20.92</v>
      </c>
      <c r="Q2340">
        <v>12.86</v>
      </c>
      <c r="R2340">
        <v>12.35</v>
      </c>
      <c r="S2340">
        <v>-18.91</v>
      </c>
      <c r="T2340">
        <v>2.78</v>
      </c>
      <c r="U2340">
        <v>3.28</v>
      </c>
      <c r="V2340">
        <v>9.01</v>
      </c>
      <c r="W2340">
        <v>5.45</v>
      </c>
      <c r="X2340">
        <v>2.73</v>
      </c>
      <c r="Y2340">
        <v>2.2000000000000002</v>
      </c>
      <c r="Z2340">
        <v>3.33</v>
      </c>
      <c r="AA2340">
        <v>5.37</v>
      </c>
      <c r="AB2340">
        <v>2.3199999999999998</v>
      </c>
      <c r="AC2340">
        <v>2.36</v>
      </c>
      <c r="AD2340">
        <v>4.5199999999999996</v>
      </c>
      <c r="AE2340">
        <v>8.6</v>
      </c>
      <c r="AF2340">
        <v>4.416666666666667</v>
      </c>
      <c r="AG2340" t="str">
        <f>HYPERLINK("https://finance.naver.com/item/fchart.naver?code=419530", "SAMG엔터 차트보기")</f>
        <v>SAMG엔터 차트보기</v>
      </c>
    </row>
    <row r="2341" spans="1:33" x14ac:dyDescent="0.3">
      <c r="A2341" t="s">
        <v>9391</v>
      </c>
      <c r="B2341" t="s">
        <v>34</v>
      </c>
      <c r="C2341" t="s">
        <v>9392</v>
      </c>
      <c r="D2341">
        <v>43416.19</v>
      </c>
      <c r="E2341" t="s">
        <v>9393</v>
      </c>
      <c r="F2341">
        <v>3.19</v>
      </c>
      <c r="G2341">
        <v>0.40000000596046448</v>
      </c>
      <c r="H2341">
        <v>464</v>
      </c>
      <c r="I2341">
        <v>0</v>
      </c>
      <c r="J2341" t="s">
        <v>9394</v>
      </c>
      <c r="K2341">
        <v>1800</v>
      </c>
      <c r="L2341">
        <v>1480</v>
      </c>
      <c r="M2341">
        <v>-17.78</v>
      </c>
      <c r="N2341">
        <v>-5.85</v>
      </c>
      <c r="O2341">
        <v>3.27</v>
      </c>
      <c r="P2341">
        <v>0.46</v>
      </c>
      <c r="Q2341">
        <v>-5.09</v>
      </c>
      <c r="R2341">
        <v>-6.38</v>
      </c>
      <c r="S2341">
        <v>-6.17</v>
      </c>
      <c r="T2341">
        <v>1.21</v>
      </c>
      <c r="U2341">
        <v>2.15</v>
      </c>
      <c r="V2341">
        <v>1.4</v>
      </c>
      <c r="W2341">
        <v>1.64</v>
      </c>
      <c r="X2341">
        <v>0.82</v>
      </c>
      <c r="Y2341">
        <v>0.69</v>
      </c>
      <c r="Z2341">
        <v>4.83</v>
      </c>
      <c r="AA2341">
        <v>1.52</v>
      </c>
      <c r="AB2341">
        <v>0.33</v>
      </c>
      <c r="AC2341">
        <v>3.1</v>
      </c>
      <c r="AD2341">
        <v>7.78</v>
      </c>
      <c r="AE2341">
        <v>8.94</v>
      </c>
      <c r="AF2341">
        <v>4.416666666666667</v>
      </c>
      <c r="AG2341" t="str">
        <f>HYPERLINK("https://finance.naver.com/item/fchart.naver?code=007280", "한국특강 차트보기")</f>
        <v>한국특강 차트보기</v>
      </c>
    </row>
    <row r="2342" spans="1:33" x14ac:dyDescent="0.3">
      <c r="A2342" t="s">
        <v>9395</v>
      </c>
      <c r="B2342" t="s">
        <v>55</v>
      </c>
      <c r="C2342" t="s">
        <v>9396</v>
      </c>
      <c r="D2342">
        <v>774478.67</v>
      </c>
      <c r="E2342" t="s">
        <v>9397</v>
      </c>
      <c r="F2342">
        <v>3.7</v>
      </c>
      <c r="G2342">
        <v>0.70999997854232788</v>
      </c>
      <c r="H2342">
        <v>155</v>
      </c>
      <c r="I2342">
        <v>0</v>
      </c>
      <c r="J2342" t="s">
        <v>9398</v>
      </c>
      <c r="K2342">
        <v>954</v>
      </c>
      <c r="L2342">
        <v>573</v>
      </c>
      <c r="M2342">
        <v>-39.94</v>
      </c>
      <c r="N2342">
        <v>-7.88</v>
      </c>
      <c r="O2342">
        <v>-10.87</v>
      </c>
      <c r="P2342">
        <v>-3.9</v>
      </c>
      <c r="Q2342">
        <v>-13.9</v>
      </c>
      <c r="R2342">
        <v>-6.23</v>
      </c>
      <c r="S2342">
        <v>-13.56</v>
      </c>
      <c r="T2342">
        <v>3.81</v>
      </c>
      <c r="U2342">
        <v>2.58</v>
      </c>
      <c r="V2342">
        <v>3.06</v>
      </c>
      <c r="W2342">
        <v>3.95</v>
      </c>
      <c r="X2342">
        <v>2</v>
      </c>
      <c r="Y2342">
        <v>1.1000000000000001</v>
      </c>
      <c r="Z2342">
        <v>2.0699999999999998</v>
      </c>
      <c r="AA2342">
        <v>4.21</v>
      </c>
      <c r="AB2342">
        <v>1.27</v>
      </c>
      <c r="AC2342">
        <v>3.52</v>
      </c>
      <c r="AD2342">
        <v>3.12</v>
      </c>
      <c r="AE2342">
        <v>12.33</v>
      </c>
      <c r="AF2342">
        <v>4.419999999999999</v>
      </c>
      <c r="AG2342" t="str">
        <f>HYPERLINK("https://finance.naver.com/item/fchart.naver?code=078590", "휴림에이텍 차트보기")</f>
        <v>휴림에이텍 차트보기</v>
      </c>
    </row>
    <row r="2343" spans="1:33" x14ac:dyDescent="0.3">
      <c r="A2343" t="s">
        <v>9399</v>
      </c>
      <c r="B2343" t="s">
        <v>34</v>
      </c>
      <c r="C2343" t="s">
        <v>9400</v>
      </c>
      <c r="D2343">
        <v>34762.14</v>
      </c>
      <c r="E2343" t="s">
        <v>9401</v>
      </c>
      <c r="F2343">
        <v>10.75</v>
      </c>
      <c r="G2343">
        <v>0.5</v>
      </c>
      <c r="H2343">
        <v>1098</v>
      </c>
      <c r="I2343">
        <v>3.3900001049041748</v>
      </c>
      <c r="J2343" t="s">
        <v>9402</v>
      </c>
      <c r="K2343">
        <v>17750</v>
      </c>
      <c r="L2343">
        <v>11800</v>
      </c>
      <c r="M2343">
        <v>-33.520000000000003</v>
      </c>
      <c r="N2343">
        <v>-10.130000000000001</v>
      </c>
      <c r="O2343">
        <v>-4.0999999999999996</v>
      </c>
      <c r="P2343">
        <v>2.77</v>
      </c>
      <c r="Q2343">
        <v>-7.08</v>
      </c>
      <c r="R2343">
        <v>-9.84</v>
      </c>
      <c r="S2343">
        <v>-8.77</v>
      </c>
      <c r="T2343">
        <v>2.34</v>
      </c>
      <c r="U2343">
        <v>1.1599999999999999</v>
      </c>
      <c r="V2343">
        <v>1.98</v>
      </c>
      <c r="W2343">
        <v>2.31</v>
      </c>
      <c r="X2343">
        <v>1.2</v>
      </c>
      <c r="Y2343">
        <v>1.46</v>
      </c>
      <c r="Z2343">
        <v>4.33</v>
      </c>
      <c r="AA2343">
        <v>3.53</v>
      </c>
      <c r="AB2343">
        <v>1.4</v>
      </c>
      <c r="AC2343">
        <v>3.06</v>
      </c>
      <c r="AD2343">
        <v>8.1999999999999993</v>
      </c>
      <c r="AE2343">
        <v>6.01</v>
      </c>
      <c r="AF2343">
        <v>4.4216666666666669</v>
      </c>
      <c r="AG2343" t="str">
        <f>HYPERLINK("https://finance.naver.com/item/fchart.naver?code=031430", "신세계인터내셔날 차트보기")</f>
        <v>신세계인터내셔날 차트보기</v>
      </c>
    </row>
    <row r="2344" spans="1:33" x14ac:dyDescent="0.3">
      <c r="A2344" t="s">
        <v>9403</v>
      </c>
      <c r="B2344" t="s">
        <v>55</v>
      </c>
      <c r="C2344" t="s">
        <v>9404</v>
      </c>
      <c r="D2344">
        <v>30657.81</v>
      </c>
      <c r="E2344" t="s">
        <v>9405</v>
      </c>
      <c r="F2344">
        <v>12.77</v>
      </c>
      <c r="G2344">
        <v>0.68000000715255737</v>
      </c>
      <c r="H2344">
        <v>635</v>
      </c>
      <c r="I2344">
        <v>1.2300000190734861</v>
      </c>
      <c r="J2344" t="s">
        <v>9406</v>
      </c>
      <c r="K2344">
        <v>21900</v>
      </c>
      <c r="L2344">
        <v>8110</v>
      </c>
      <c r="M2344">
        <v>-62.97</v>
      </c>
      <c r="N2344">
        <v>-6.46</v>
      </c>
      <c r="O2344">
        <v>-10.3</v>
      </c>
      <c r="P2344">
        <v>-0.4</v>
      </c>
      <c r="Q2344">
        <v>-20.3</v>
      </c>
      <c r="R2344">
        <v>-31.73</v>
      </c>
      <c r="S2344">
        <v>-8.36</v>
      </c>
      <c r="T2344">
        <v>3.1</v>
      </c>
      <c r="U2344">
        <v>2.83</v>
      </c>
      <c r="V2344">
        <v>3.18</v>
      </c>
      <c r="W2344">
        <v>5.82</v>
      </c>
      <c r="X2344">
        <v>2.2000000000000002</v>
      </c>
      <c r="Y2344">
        <v>2.97</v>
      </c>
      <c r="Z2344">
        <v>2.08</v>
      </c>
      <c r="AA2344">
        <v>3.64</v>
      </c>
      <c r="AB2344">
        <v>0.13</v>
      </c>
      <c r="AC2344">
        <v>3.49</v>
      </c>
      <c r="AD2344">
        <v>14.42</v>
      </c>
      <c r="AE2344">
        <v>2.81</v>
      </c>
      <c r="AF2344">
        <v>4.4283333333333328</v>
      </c>
      <c r="AG2344" t="str">
        <f>HYPERLINK("https://finance.naver.com/item/fchart.naver?code=172670", "에이엘티 차트보기")</f>
        <v>에이엘티 차트보기</v>
      </c>
    </row>
    <row r="2345" spans="1:33" x14ac:dyDescent="0.3">
      <c r="A2345" t="s">
        <v>9407</v>
      </c>
      <c r="B2345" t="s">
        <v>55</v>
      </c>
      <c r="C2345" t="s">
        <v>9408</v>
      </c>
      <c r="D2345">
        <v>28324.67</v>
      </c>
      <c r="E2345" t="s">
        <v>9409</v>
      </c>
      <c r="F2345">
        <v>0</v>
      </c>
      <c r="G2345">
        <v>0.27000001072883612</v>
      </c>
      <c r="H2345">
        <v>0</v>
      </c>
      <c r="I2345">
        <v>0</v>
      </c>
      <c r="J2345" t="s">
        <v>9410</v>
      </c>
      <c r="K2345">
        <v>1198</v>
      </c>
      <c r="L2345">
        <v>1305</v>
      </c>
      <c r="M2345">
        <v>8.93</v>
      </c>
      <c r="N2345">
        <v>-2.1</v>
      </c>
      <c r="O2345">
        <v>-3.09</v>
      </c>
      <c r="P2345">
        <v>4.3499999999999996</v>
      </c>
      <c r="Q2345">
        <v>23.3</v>
      </c>
      <c r="R2345">
        <v>-12.35</v>
      </c>
      <c r="S2345">
        <v>-0.25</v>
      </c>
      <c r="T2345">
        <v>1.7</v>
      </c>
      <c r="U2345">
        <v>1.73</v>
      </c>
      <c r="V2345">
        <v>1.36</v>
      </c>
      <c r="W2345">
        <v>2.77</v>
      </c>
      <c r="X2345">
        <v>1.05</v>
      </c>
      <c r="Y2345">
        <v>1.31</v>
      </c>
      <c r="Z2345">
        <v>1.24</v>
      </c>
      <c r="AA2345">
        <v>1.79</v>
      </c>
      <c r="AB2345">
        <v>3.2</v>
      </c>
      <c r="AC2345">
        <v>8.41</v>
      </c>
      <c r="AD2345">
        <v>11.76</v>
      </c>
      <c r="AE2345">
        <v>0.19</v>
      </c>
      <c r="AF2345">
        <v>4.4316666666666666</v>
      </c>
      <c r="AG2345" t="str">
        <f>HYPERLINK("https://finance.naver.com/item/fchart.naver?code=127710", "아시아경제 차트보기")</f>
        <v>아시아경제 차트보기</v>
      </c>
    </row>
    <row r="2346" spans="1:33" x14ac:dyDescent="0.3">
      <c r="A2346" t="s">
        <v>9411</v>
      </c>
      <c r="B2346" t="s">
        <v>55</v>
      </c>
      <c r="C2346" t="s">
        <v>9412</v>
      </c>
      <c r="D2346">
        <v>37595.19</v>
      </c>
      <c r="E2346" t="s">
        <v>9413</v>
      </c>
      <c r="F2346">
        <v>5.01</v>
      </c>
      <c r="G2346">
        <v>0.61000001430511475</v>
      </c>
      <c r="H2346">
        <v>752</v>
      </c>
      <c r="I2346">
        <v>5.309999942779541</v>
      </c>
      <c r="J2346" t="s">
        <v>9414</v>
      </c>
      <c r="K2346">
        <v>5040</v>
      </c>
      <c r="L2346">
        <v>3765</v>
      </c>
      <c r="M2346">
        <v>-25.3</v>
      </c>
      <c r="N2346">
        <v>-7.49</v>
      </c>
      <c r="O2346">
        <v>-2.0299999999999998</v>
      </c>
      <c r="P2346">
        <v>3.48</v>
      </c>
      <c r="Q2346">
        <v>-5.77</v>
      </c>
      <c r="R2346">
        <v>-8.73</v>
      </c>
      <c r="S2346">
        <v>-7.53</v>
      </c>
      <c r="T2346">
        <v>1.44</v>
      </c>
      <c r="U2346">
        <v>1.58</v>
      </c>
      <c r="V2346">
        <v>1.66</v>
      </c>
      <c r="W2346">
        <v>3.86</v>
      </c>
      <c r="X2346">
        <v>1.19</v>
      </c>
      <c r="Y2346">
        <v>0.82</v>
      </c>
      <c r="Z2346">
        <v>5.2</v>
      </c>
      <c r="AA2346">
        <v>1.28</v>
      </c>
      <c r="AB2346">
        <v>2.1</v>
      </c>
      <c r="AC2346">
        <v>1.49</v>
      </c>
      <c r="AD2346">
        <v>7.34</v>
      </c>
      <c r="AE2346">
        <v>9.18</v>
      </c>
      <c r="AF2346">
        <v>4.4316666666666666</v>
      </c>
      <c r="AG2346" t="str">
        <f>HYPERLINK("https://finance.naver.com/item/fchart.naver?code=155650", "와이엠씨 차트보기")</f>
        <v>와이엠씨 차트보기</v>
      </c>
    </row>
    <row r="2347" spans="1:33" x14ac:dyDescent="0.3">
      <c r="A2347" t="s">
        <v>9415</v>
      </c>
      <c r="B2347" t="s">
        <v>55</v>
      </c>
      <c r="C2347" t="s">
        <v>9416</v>
      </c>
      <c r="D2347">
        <v>176261.24</v>
      </c>
      <c r="E2347" t="s">
        <v>9417</v>
      </c>
      <c r="F2347">
        <v>55.76</v>
      </c>
      <c r="G2347">
        <v>0.34000000357627869</v>
      </c>
      <c r="H2347">
        <v>85</v>
      </c>
      <c r="I2347">
        <v>0.62999999523162842</v>
      </c>
      <c r="J2347" t="s">
        <v>9418</v>
      </c>
      <c r="K2347">
        <v>6150</v>
      </c>
      <c r="L2347">
        <v>4740</v>
      </c>
      <c r="M2347">
        <v>-22.93</v>
      </c>
      <c r="N2347">
        <v>-2.37</v>
      </c>
      <c r="O2347">
        <v>3.33</v>
      </c>
      <c r="P2347">
        <v>2.92</v>
      </c>
      <c r="Q2347">
        <v>-1.18</v>
      </c>
      <c r="R2347">
        <v>-10.63</v>
      </c>
      <c r="S2347">
        <v>-11.78</v>
      </c>
      <c r="T2347">
        <v>1.47</v>
      </c>
      <c r="U2347">
        <v>1.71</v>
      </c>
      <c r="V2347">
        <v>1.53</v>
      </c>
      <c r="W2347">
        <v>3.8</v>
      </c>
      <c r="X2347">
        <v>1.08</v>
      </c>
      <c r="Y2347">
        <v>1.07</v>
      </c>
      <c r="Z2347">
        <v>1.61</v>
      </c>
      <c r="AA2347">
        <v>1.95</v>
      </c>
      <c r="AB2347">
        <v>1.91</v>
      </c>
      <c r="AC2347">
        <v>0.31</v>
      </c>
      <c r="AD2347">
        <v>9.84</v>
      </c>
      <c r="AE2347">
        <v>11.01</v>
      </c>
      <c r="AF2347">
        <v>4.4383333333333326</v>
      </c>
      <c r="AG2347" t="str">
        <f>HYPERLINK("https://finance.naver.com/item/fchart.naver?code=056360", "코위버 차트보기")</f>
        <v>코위버 차트보기</v>
      </c>
    </row>
    <row r="2348" spans="1:33" x14ac:dyDescent="0.3">
      <c r="A2348" t="s">
        <v>9419</v>
      </c>
      <c r="B2348" t="s">
        <v>55</v>
      </c>
      <c r="C2348" t="s">
        <v>9420</v>
      </c>
      <c r="D2348">
        <v>312584.09999999998</v>
      </c>
      <c r="E2348" t="s">
        <v>9421</v>
      </c>
      <c r="F2348">
        <v>0</v>
      </c>
      <c r="G2348">
        <v>3.4800000190734859</v>
      </c>
      <c r="H2348">
        <v>0</v>
      </c>
      <c r="I2348">
        <v>0</v>
      </c>
      <c r="J2348" t="s">
        <v>9422</v>
      </c>
      <c r="K2348">
        <v>24700</v>
      </c>
      <c r="L2348">
        <v>21000</v>
      </c>
      <c r="M2348">
        <v>-14.98</v>
      </c>
      <c r="N2348">
        <v>27.5</v>
      </c>
      <c r="O2348">
        <v>10.73</v>
      </c>
      <c r="P2348">
        <v>10.56</v>
      </c>
      <c r="Q2348">
        <v>-15.91</v>
      </c>
      <c r="R2348">
        <v>-17.57</v>
      </c>
      <c r="S2348">
        <v>-16.48</v>
      </c>
      <c r="T2348">
        <v>8.75</v>
      </c>
      <c r="U2348">
        <v>4.38</v>
      </c>
      <c r="V2348">
        <v>3.47</v>
      </c>
      <c r="W2348">
        <v>5.36</v>
      </c>
      <c r="X2348">
        <v>2.34</v>
      </c>
      <c r="Y2348">
        <v>2.19</v>
      </c>
      <c r="Z2348">
        <v>3.14</v>
      </c>
      <c r="AA2348">
        <v>2.4500000000000002</v>
      </c>
      <c r="AB2348">
        <v>3.04</v>
      </c>
      <c r="AC2348">
        <v>2.97</v>
      </c>
      <c r="AD2348">
        <v>7.51</v>
      </c>
      <c r="AE2348">
        <v>7.53</v>
      </c>
      <c r="AF2348">
        <v>4.4400000000000004</v>
      </c>
      <c r="AG2348" t="str">
        <f>HYPERLINK("https://finance.naver.com/item/fchart.naver?code=304100", "솔트룩스 차트보기")</f>
        <v>솔트룩스 차트보기</v>
      </c>
    </row>
    <row r="2349" spans="1:33" x14ac:dyDescent="0.3">
      <c r="A2349" t="s">
        <v>9423</v>
      </c>
      <c r="B2349" t="s">
        <v>55</v>
      </c>
      <c r="C2349" t="s">
        <v>9424</v>
      </c>
      <c r="D2349">
        <v>280602.48</v>
      </c>
      <c r="E2349" t="s">
        <v>9425</v>
      </c>
      <c r="F2349">
        <v>0</v>
      </c>
      <c r="G2349">
        <v>0.8399999737739563</v>
      </c>
      <c r="H2349">
        <v>0</v>
      </c>
      <c r="I2349">
        <v>0</v>
      </c>
      <c r="J2349" t="s">
        <v>9426</v>
      </c>
      <c r="K2349">
        <v>779</v>
      </c>
      <c r="L2349">
        <v>524</v>
      </c>
      <c r="M2349">
        <v>-32.729999999999997</v>
      </c>
      <c r="N2349">
        <v>-2.2400000000000002</v>
      </c>
      <c r="O2349">
        <v>-4.29</v>
      </c>
      <c r="P2349">
        <v>-5.51</v>
      </c>
      <c r="Q2349">
        <v>-11.29</v>
      </c>
      <c r="R2349">
        <v>-5.25</v>
      </c>
      <c r="S2349">
        <v>-10.42</v>
      </c>
      <c r="T2349">
        <v>3.45</v>
      </c>
      <c r="U2349">
        <v>1.1100000000000001</v>
      </c>
      <c r="V2349">
        <v>1.08</v>
      </c>
      <c r="W2349">
        <v>2.88</v>
      </c>
      <c r="X2349">
        <v>1.06</v>
      </c>
      <c r="Y2349">
        <v>1.27</v>
      </c>
      <c r="Z2349">
        <v>0.65</v>
      </c>
      <c r="AA2349">
        <v>3.86</v>
      </c>
      <c r="AB2349">
        <v>5.0999999999999996</v>
      </c>
      <c r="AC2349">
        <v>3.92</v>
      </c>
      <c r="AD2349">
        <v>4.95</v>
      </c>
      <c r="AE2349">
        <v>8.1999999999999993</v>
      </c>
      <c r="AF2349">
        <v>4.4466666666666663</v>
      </c>
      <c r="AG2349" t="str">
        <f>HYPERLINK("https://finance.naver.com/item/fchart.naver?code=012340", "뉴인텍 차트보기")</f>
        <v>뉴인텍 차트보기</v>
      </c>
    </row>
    <row r="2350" spans="1:33" x14ac:dyDescent="0.3">
      <c r="A2350" t="s">
        <v>9427</v>
      </c>
      <c r="B2350" t="s">
        <v>55</v>
      </c>
      <c r="C2350" t="s">
        <v>9428</v>
      </c>
      <c r="D2350">
        <v>256266.19</v>
      </c>
      <c r="E2350" t="s">
        <v>9429</v>
      </c>
      <c r="F2350">
        <v>40.03</v>
      </c>
      <c r="G2350">
        <v>2.4900000095367432</v>
      </c>
      <c r="H2350">
        <v>388</v>
      </c>
      <c r="I2350">
        <v>0</v>
      </c>
      <c r="J2350" t="s">
        <v>9430</v>
      </c>
      <c r="K2350">
        <v>28950</v>
      </c>
      <c r="L2350">
        <v>15530</v>
      </c>
      <c r="M2350">
        <v>-46.36</v>
      </c>
      <c r="N2350">
        <v>-5.07</v>
      </c>
      <c r="O2350">
        <v>4.49</v>
      </c>
      <c r="P2350">
        <v>-12.37</v>
      </c>
      <c r="Q2350">
        <v>9.23</v>
      </c>
      <c r="R2350">
        <v>-25.85</v>
      </c>
      <c r="S2350">
        <v>-17.27</v>
      </c>
      <c r="T2350">
        <v>2.1800000000000002</v>
      </c>
      <c r="U2350">
        <v>5.86</v>
      </c>
      <c r="V2350">
        <v>4.29</v>
      </c>
      <c r="W2350">
        <v>8.08</v>
      </c>
      <c r="X2350">
        <v>2.31</v>
      </c>
      <c r="Y2350">
        <v>2.04</v>
      </c>
      <c r="Z2350">
        <v>2.33</v>
      </c>
      <c r="AA2350">
        <v>0.77</v>
      </c>
      <c r="AB2350">
        <v>2.88</v>
      </c>
      <c r="AC2350">
        <v>1.1399999999999999</v>
      </c>
      <c r="AD2350">
        <v>11.19</v>
      </c>
      <c r="AE2350">
        <v>8.4700000000000006</v>
      </c>
      <c r="AF2350">
        <v>4.4633333333333338</v>
      </c>
      <c r="AG2350" t="str">
        <f>HYPERLINK("https://finance.naver.com/item/fchart.naver?code=402490", "그린리소스 차트보기")</f>
        <v>그린리소스 차트보기</v>
      </c>
    </row>
    <row r="2351" spans="1:33" x14ac:dyDescent="0.3">
      <c r="A2351" t="s">
        <v>9431</v>
      </c>
      <c r="B2351" t="s">
        <v>34</v>
      </c>
      <c r="C2351" t="s">
        <v>9432</v>
      </c>
      <c r="D2351">
        <v>50065.81</v>
      </c>
      <c r="E2351" t="s">
        <v>9433</v>
      </c>
      <c r="F2351">
        <v>0</v>
      </c>
      <c r="G2351">
        <v>0</v>
      </c>
      <c r="H2351">
        <v>0</v>
      </c>
      <c r="I2351">
        <v>0.37999999523162842</v>
      </c>
      <c r="J2351" t="s">
        <v>9434</v>
      </c>
      <c r="K2351">
        <v>62700</v>
      </c>
      <c r="L2351">
        <v>119700</v>
      </c>
      <c r="M2351">
        <v>90.91</v>
      </c>
      <c r="N2351">
        <v>-1.89</v>
      </c>
      <c r="O2351">
        <v>-7.98</v>
      </c>
      <c r="P2351">
        <v>-10.87</v>
      </c>
      <c r="Q2351">
        <v>101.36</v>
      </c>
      <c r="R2351">
        <v>7.1</v>
      </c>
      <c r="S2351">
        <v>7.37</v>
      </c>
      <c r="T2351">
        <v>3.38</v>
      </c>
      <c r="U2351">
        <v>3.16</v>
      </c>
      <c r="V2351">
        <v>7.5</v>
      </c>
      <c r="W2351">
        <v>7.43</v>
      </c>
      <c r="X2351">
        <v>1.81</v>
      </c>
      <c r="Y2351">
        <v>1.57</v>
      </c>
      <c r="Z2351">
        <v>0.56000000000000005</v>
      </c>
      <c r="AA2351">
        <v>2.5299999999999998</v>
      </c>
      <c r="AB2351">
        <v>1.45</v>
      </c>
      <c r="AC2351">
        <v>13.64</v>
      </c>
      <c r="AD2351">
        <v>3.92</v>
      </c>
      <c r="AE2351">
        <v>4.6900000000000004</v>
      </c>
      <c r="AF2351">
        <v>4.4650000000000007</v>
      </c>
      <c r="AG2351" t="str">
        <f>HYPERLINK("https://finance.naver.com/item/fchart.naver?code=000105", "유한양행우 차트보기")</f>
        <v>유한양행우 차트보기</v>
      </c>
    </row>
    <row r="2352" spans="1:33" x14ac:dyDescent="0.3">
      <c r="A2352" t="s">
        <v>9435</v>
      </c>
      <c r="B2352" t="s">
        <v>34</v>
      </c>
      <c r="C2352" t="s">
        <v>9436</v>
      </c>
      <c r="D2352">
        <v>114942.24</v>
      </c>
      <c r="E2352" t="s">
        <v>9437</v>
      </c>
      <c r="F2352">
        <v>4.42</v>
      </c>
      <c r="G2352">
        <v>0.69999998807907104</v>
      </c>
      <c r="H2352">
        <v>3499</v>
      </c>
      <c r="I2352">
        <v>5.820000171661377</v>
      </c>
      <c r="J2352" t="s">
        <v>9438</v>
      </c>
      <c r="K2352">
        <v>17220</v>
      </c>
      <c r="L2352">
        <v>15470</v>
      </c>
      <c r="M2352">
        <v>-10.16</v>
      </c>
      <c r="N2352">
        <v>-9.5299999999999994</v>
      </c>
      <c r="O2352">
        <v>22.77</v>
      </c>
      <c r="P2352">
        <v>-0.62</v>
      </c>
      <c r="Q2352">
        <v>-6.92</v>
      </c>
      <c r="R2352">
        <v>-20.010000000000002</v>
      </c>
      <c r="S2352">
        <v>-13.7</v>
      </c>
      <c r="T2352">
        <v>2.11</v>
      </c>
      <c r="U2352">
        <v>2.57</v>
      </c>
      <c r="V2352">
        <v>1.77</v>
      </c>
      <c r="W2352">
        <v>3.45</v>
      </c>
      <c r="X2352">
        <v>2.75</v>
      </c>
      <c r="Y2352">
        <v>3.62</v>
      </c>
      <c r="Z2352">
        <v>4.5199999999999996</v>
      </c>
      <c r="AA2352">
        <v>8.86</v>
      </c>
      <c r="AB2352">
        <v>0.35</v>
      </c>
      <c r="AC2352">
        <v>2.0099999999999998</v>
      </c>
      <c r="AD2352">
        <v>7.28</v>
      </c>
      <c r="AE2352">
        <v>3.78</v>
      </c>
      <c r="AF2352">
        <v>4.4666666666666668</v>
      </c>
      <c r="AG2352" t="str">
        <f>HYPERLINK("https://finance.naver.com/item/fchart.naver?code=194370", "제이에스코퍼레이션 차트보기")</f>
        <v>제이에스코퍼레이션 차트보기</v>
      </c>
    </row>
    <row r="2353" spans="1:33" x14ac:dyDescent="0.3">
      <c r="A2353" t="s">
        <v>9439</v>
      </c>
      <c r="B2353" t="s">
        <v>55</v>
      </c>
      <c r="C2353" t="s">
        <v>9440</v>
      </c>
      <c r="D2353">
        <v>76591.14</v>
      </c>
      <c r="E2353" t="s">
        <v>9441</v>
      </c>
      <c r="F2353">
        <v>2.84</v>
      </c>
      <c r="G2353">
        <v>0.5899999737739563</v>
      </c>
      <c r="H2353">
        <v>3273</v>
      </c>
      <c r="I2353">
        <v>2.1500000953674321</v>
      </c>
      <c r="J2353" t="s">
        <v>9442</v>
      </c>
      <c r="K2353">
        <v>18430</v>
      </c>
      <c r="L2353">
        <v>9310</v>
      </c>
      <c r="M2353">
        <v>-49.48</v>
      </c>
      <c r="N2353">
        <v>-7.27</v>
      </c>
      <c r="O2353">
        <v>-5.82</v>
      </c>
      <c r="P2353">
        <v>-1.02</v>
      </c>
      <c r="Q2353">
        <v>-16.09</v>
      </c>
      <c r="R2353">
        <v>-17.37</v>
      </c>
      <c r="S2353">
        <v>-9.4600000000000009</v>
      </c>
      <c r="T2353">
        <v>1.99</v>
      </c>
      <c r="U2353">
        <v>2.33</v>
      </c>
      <c r="V2353">
        <v>2.67</v>
      </c>
      <c r="W2353">
        <v>4.87</v>
      </c>
      <c r="X2353">
        <v>1.7</v>
      </c>
      <c r="Y2353">
        <v>1.39</v>
      </c>
      <c r="Z2353">
        <v>3.65</v>
      </c>
      <c r="AA2353">
        <v>2.5</v>
      </c>
      <c r="AB2353">
        <v>0.38</v>
      </c>
      <c r="AC2353">
        <v>3.3</v>
      </c>
      <c r="AD2353">
        <v>10.220000000000001</v>
      </c>
      <c r="AE2353">
        <v>6.81</v>
      </c>
      <c r="AF2353">
        <v>4.4766666666666666</v>
      </c>
      <c r="AG2353" t="str">
        <f>HYPERLINK("https://finance.naver.com/item/fchart.naver?code=083310", "엘오티베큠 차트보기")</f>
        <v>엘오티베큠 차트보기</v>
      </c>
    </row>
    <row r="2354" spans="1:33" x14ac:dyDescent="0.3">
      <c r="A2354" t="s">
        <v>9443</v>
      </c>
      <c r="B2354" t="s">
        <v>34</v>
      </c>
      <c r="C2354" t="s">
        <v>9444</v>
      </c>
      <c r="D2354">
        <v>81028.899999999994</v>
      </c>
      <c r="E2354" t="s">
        <v>9445</v>
      </c>
      <c r="F2354">
        <v>0</v>
      </c>
      <c r="G2354">
        <v>0.80000001192092896</v>
      </c>
      <c r="H2354">
        <v>0</v>
      </c>
      <c r="I2354">
        <v>0</v>
      </c>
      <c r="J2354" t="s">
        <v>9446</v>
      </c>
      <c r="K2354">
        <v>510</v>
      </c>
      <c r="L2354">
        <v>527</v>
      </c>
      <c r="M2354">
        <v>3.33</v>
      </c>
      <c r="N2354">
        <v>0.56999999999999995</v>
      </c>
      <c r="O2354">
        <v>-10</v>
      </c>
      <c r="P2354">
        <v>2.23</v>
      </c>
      <c r="Q2354">
        <v>-8.58</v>
      </c>
      <c r="R2354">
        <v>24.86</v>
      </c>
      <c r="S2354">
        <v>-11.49</v>
      </c>
      <c r="T2354">
        <v>1.49</v>
      </c>
      <c r="U2354">
        <v>1.24</v>
      </c>
      <c r="V2354">
        <v>2.21</v>
      </c>
      <c r="W2354">
        <v>2.96</v>
      </c>
      <c r="X2354">
        <v>2.94</v>
      </c>
      <c r="Y2354">
        <v>1.9</v>
      </c>
      <c r="Z2354">
        <v>0.38</v>
      </c>
      <c r="AA2354">
        <v>8.06</v>
      </c>
      <c r="AB2354">
        <v>1.01</v>
      </c>
      <c r="AC2354">
        <v>2.9</v>
      </c>
      <c r="AD2354">
        <v>8.4600000000000009</v>
      </c>
      <c r="AE2354">
        <v>6.05</v>
      </c>
      <c r="AF2354">
        <v>4.4766666666666666</v>
      </c>
      <c r="AG2354" t="str">
        <f>HYPERLINK("https://finance.naver.com/item/fchart.naver?code=011090", "에넥스 차트보기")</f>
        <v>에넥스 차트보기</v>
      </c>
    </row>
    <row r="2355" spans="1:33" x14ac:dyDescent="0.3">
      <c r="A2355" t="s">
        <v>9447</v>
      </c>
      <c r="B2355" t="s">
        <v>55</v>
      </c>
      <c r="C2355" t="s">
        <v>9448</v>
      </c>
      <c r="D2355">
        <v>164349.38</v>
      </c>
      <c r="E2355" t="s">
        <v>9449</v>
      </c>
      <c r="F2355">
        <v>11.36</v>
      </c>
      <c r="G2355">
        <v>0.79000002145767212</v>
      </c>
      <c r="H2355">
        <v>356</v>
      </c>
      <c r="I2355">
        <v>7.4200000762939453</v>
      </c>
      <c r="J2355" t="s">
        <v>9450</v>
      </c>
      <c r="K2355">
        <v>4730</v>
      </c>
      <c r="L2355">
        <v>4045</v>
      </c>
      <c r="M2355">
        <v>-14.48</v>
      </c>
      <c r="N2355">
        <v>3.32</v>
      </c>
      <c r="O2355">
        <v>7.21</v>
      </c>
      <c r="P2355">
        <v>-5.94</v>
      </c>
      <c r="Q2355">
        <v>5.17</v>
      </c>
      <c r="R2355">
        <v>-4.1500000000000004</v>
      </c>
      <c r="S2355">
        <v>-12.13</v>
      </c>
      <c r="T2355">
        <v>0.55000000000000004</v>
      </c>
      <c r="U2355">
        <v>0.86</v>
      </c>
      <c r="V2355">
        <v>2.14</v>
      </c>
      <c r="W2355">
        <v>5.08</v>
      </c>
      <c r="X2355">
        <v>1.05</v>
      </c>
      <c r="Y2355">
        <v>2.58</v>
      </c>
      <c r="Z2355">
        <v>6.04</v>
      </c>
      <c r="AA2355">
        <v>8.3800000000000008</v>
      </c>
      <c r="AB2355">
        <v>2.78</v>
      </c>
      <c r="AC2355">
        <v>1.02</v>
      </c>
      <c r="AD2355">
        <v>3.95</v>
      </c>
      <c r="AE2355">
        <v>4.7</v>
      </c>
      <c r="AF2355">
        <v>4.4783333333333326</v>
      </c>
      <c r="AG2355" t="str">
        <f>HYPERLINK("https://finance.naver.com/item/fchart.naver?code=330730", "스톤브릿지벤처스 차트보기")</f>
        <v>스톤브릿지벤처스 차트보기</v>
      </c>
    </row>
    <row r="2356" spans="1:33" x14ac:dyDescent="0.3">
      <c r="A2356" t="s">
        <v>9451</v>
      </c>
      <c r="B2356" t="s">
        <v>55</v>
      </c>
      <c r="C2356" t="s">
        <v>9452</v>
      </c>
      <c r="D2356">
        <v>18188.57</v>
      </c>
      <c r="E2356" t="s">
        <v>9453</v>
      </c>
      <c r="F2356">
        <v>24.32</v>
      </c>
      <c r="G2356">
        <v>1.9600000381469731</v>
      </c>
      <c r="H2356">
        <v>2068</v>
      </c>
      <c r="I2356">
        <v>0</v>
      </c>
      <c r="J2356" t="s">
        <v>9454</v>
      </c>
      <c r="K2356">
        <v>80700</v>
      </c>
      <c r="L2356">
        <v>50300</v>
      </c>
      <c r="M2356">
        <v>-37.67</v>
      </c>
      <c r="N2356">
        <v>-7.88</v>
      </c>
      <c r="O2356">
        <v>-5.83</v>
      </c>
      <c r="P2356">
        <v>1.21</v>
      </c>
      <c r="Q2356">
        <v>-10.72</v>
      </c>
      <c r="R2356">
        <v>-21.81</v>
      </c>
      <c r="S2356">
        <v>-6.85</v>
      </c>
      <c r="T2356">
        <v>3.11</v>
      </c>
      <c r="U2356">
        <v>2.0299999999999998</v>
      </c>
      <c r="V2356">
        <v>2.5299999999999998</v>
      </c>
      <c r="W2356">
        <v>4.29</v>
      </c>
      <c r="X2356">
        <v>1.56</v>
      </c>
      <c r="Y2356">
        <v>1.5</v>
      </c>
      <c r="Z2356">
        <v>2.5299999999999998</v>
      </c>
      <c r="AA2356">
        <v>2.87</v>
      </c>
      <c r="AB2356">
        <v>0.48</v>
      </c>
      <c r="AC2356">
        <v>2.5</v>
      </c>
      <c r="AD2356">
        <v>13.98</v>
      </c>
      <c r="AE2356">
        <v>4.57</v>
      </c>
      <c r="AF2356">
        <v>4.4883333333333333</v>
      </c>
      <c r="AG2356" t="str">
        <f>HYPERLINK("https://finance.naver.com/item/fchart.naver?code=365340", "성일하이텍 차트보기")</f>
        <v>성일하이텍 차트보기</v>
      </c>
    </row>
    <row r="2357" spans="1:33" x14ac:dyDescent="0.3">
      <c r="A2357" t="s">
        <v>9455</v>
      </c>
      <c r="B2357" t="s">
        <v>55</v>
      </c>
      <c r="C2357" t="s">
        <v>9456</v>
      </c>
      <c r="D2357">
        <v>3419777.29</v>
      </c>
      <c r="E2357" t="s">
        <v>9457</v>
      </c>
      <c r="F2357">
        <v>19.079999999999998</v>
      </c>
      <c r="G2357">
        <v>0.76999998092651367</v>
      </c>
      <c r="H2357">
        <v>92</v>
      </c>
      <c r="I2357">
        <v>1.139999985694885</v>
      </c>
      <c r="J2357" t="s">
        <v>9458</v>
      </c>
      <c r="K2357">
        <v>1925</v>
      </c>
      <c r="L2357">
        <v>1755</v>
      </c>
      <c r="M2357">
        <v>-8.83</v>
      </c>
      <c r="N2357">
        <v>-13.97</v>
      </c>
      <c r="O2357">
        <v>46.88</v>
      </c>
      <c r="P2357">
        <v>1.96</v>
      </c>
      <c r="Q2357">
        <v>-5.94</v>
      </c>
      <c r="R2357">
        <v>-7.24</v>
      </c>
      <c r="S2357">
        <v>-2.6</v>
      </c>
      <c r="T2357">
        <v>4.9400000000000004</v>
      </c>
      <c r="U2357">
        <v>5.66</v>
      </c>
      <c r="V2357">
        <v>1.22</v>
      </c>
      <c r="W2357">
        <v>3.66</v>
      </c>
      <c r="X2357">
        <v>0.8</v>
      </c>
      <c r="Y2357">
        <v>0.73</v>
      </c>
      <c r="Z2357">
        <v>2.83</v>
      </c>
      <c r="AA2357">
        <v>8.2799999999999994</v>
      </c>
      <c r="AB2357">
        <v>1.61</v>
      </c>
      <c r="AC2357">
        <v>1.62</v>
      </c>
      <c r="AD2357">
        <v>9.0500000000000007</v>
      </c>
      <c r="AE2357">
        <v>3.56</v>
      </c>
      <c r="AF2357">
        <v>4.4916666666666663</v>
      </c>
      <c r="AG2357" t="str">
        <f>HYPERLINK("https://finance.naver.com/item/fchart.naver?code=033130", "디지틀조선 차트보기")</f>
        <v>디지틀조선 차트보기</v>
      </c>
    </row>
    <row r="2358" spans="1:33" x14ac:dyDescent="0.3">
      <c r="A2358" t="s">
        <v>9459</v>
      </c>
      <c r="B2358" t="s">
        <v>34</v>
      </c>
      <c r="C2358" t="s">
        <v>9460</v>
      </c>
      <c r="D2358">
        <v>49792.38</v>
      </c>
      <c r="E2358" t="s">
        <v>9461</v>
      </c>
      <c r="F2358">
        <v>6.88</v>
      </c>
      <c r="G2358">
        <v>0.41999998688697809</v>
      </c>
      <c r="H2358">
        <v>597</v>
      </c>
      <c r="I2358">
        <v>3.6500000953674321</v>
      </c>
      <c r="J2358" t="s">
        <v>9462</v>
      </c>
      <c r="K2358">
        <v>4585</v>
      </c>
      <c r="L2358">
        <v>4110</v>
      </c>
      <c r="M2358">
        <v>-10.36</v>
      </c>
      <c r="N2358">
        <v>3.01</v>
      </c>
      <c r="O2358">
        <v>6.54</v>
      </c>
      <c r="P2358">
        <v>-2.06</v>
      </c>
      <c r="Q2358">
        <v>-3.72</v>
      </c>
      <c r="R2358">
        <v>-2.46</v>
      </c>
      <c r="S2358">
        <v>-8.2899999999999991</v>
      </c>
      <c r="T2358">
        <v>0.43</v>
      </c>
      <c r="U2358">
        <v>1.04</v>
      </c>
      <c r="V2358">
        <v>0.97</v>
      </c>
      <c r="W2358">
        <v>2.0699999999999998</v>
      </c>
      <c r="X2358">
        <v>0.88</v>
      </c>
      <c r="Y2358">
        <v>1.19</v>
      </c>
      <c r="Z2358">
        <v>7</v>
      </c>
      <c r="AA2358">
        <v>6.29</v>
      </c>
      <c r="AB2358">
        <v>2.12</v>
      </c>
      <c r="AC2358">
        <v>1.8</v>
      </c>
      <c r="AD2358">
        <v>2.8</v>
      </c>
      <c r="AE2358">
        <v>6.97</v>
      </c>
      <c r="AF2358">
        <v>4.496666666666667</v>
      </c>
      <c r="AG2358" t="str">
        <f>HYPERLINK("https://finance.naver.com/item/fchart.naver?code=015860", "일진홀딩스 차트보기")</f>
        <v>일진홀딩스 차트보기</v>
      </c>
    </row>
    <row r="2359" spans="1:33" x14ac:dyDescent="0.3">
      <c r="A2359" t="s">
        <v>9463</v>
      </c>
      <c r="B2359" t="s">
        <v>55</v>
      </c>
      <c r="C2359" t="s">
        <v>9464</v>
      </c>
      <c r="D2359">
        <v>40038.239999999998</v>
      </c>
      <c r="E2359" t="s">
        <v>9465</v>
      </c>
      <c r="F2359">
        <v>4.03</v>
      </c>
      <c r="G2359">
        <v>0.61000001430511475</v>
      </c>
      <c r="H2359">
        <v>444</v>
      </c>
      <c r="I2359">
        <v>0</v>
      </c>
      <c r="J2359" t="s">
        <v>9466</v>
      </c>
      <c r="K2359">
        <v>2885</v>
      </c>
      <c r="L2359">
        <v>1790</v>
      </c>
      <c r="M2359">
        <v>-37.950000000000003</v>
      </c>
      <c r="N2359">
        <v>-3.71</v>
      </c>
      <c r="O2359">
        <v>-4.97</v>
      </c>
      <c r="P2359">
        <v>-1.72</v>
      </c>
      <c r="Q2359">
        <v>-9.4700000000000006</v>
      </c>
      <c r="R2359">
        <v>-8.89</v>
      </c>
      <c r="S2359">
        <v>-9.48</v>
      </c>
      <c r="T2359">
        <v>0.76</v>
      </c>
      <c r="U2359">
        <v>1.37</v>
      </c>
      <c r="V2359">
        <v>1.1399999999999999</v>
      </c>
      <c r="W2359">
        <v>2.4</v>
      </c>
      <c r="X2359">
        <v>1.65</v>
      </c>
      <c r="Y2359">
        <v>1.24</v>
      </c>
      <c r="Z2359">
        <v>4.88</v>
      </c>
      <c r="AA2359">
        <v>3.63</v>
      </c>
      <c r="AB2359">
        <v>1.51</v>
      </c>
      <c r="AC2359">
        <v>3.95</v>
      </c>
      <c r="AD2359">
        <v>5.39</v>
      </c>
      <c r="AE2359">
        <v>7.65</v>
      </c>
      <c r="AF2359">
        <v>4.501666666666666</v>
      </c>
      <c r="AG2359" t="str">
        <f>HYPERLINK("https://finance.naver.com/item/fchart.naver?code=440290", "HB인베스트먼트 차트보기")</f>
        <v>HB인베스트먼트 차트보기</v>
      </c>
    </row>
    <row r="2360" spans="1:33" x14ac:dyDescent="0.3">
      <c r="A2360" t="s">
        <v>9467</v>
      </c>
      <c r="B2360" t="s">
        <v>55</v>
      </c>
      <c r="C2360" t="s">
        <v>9468</v>
      </c>
      <c r="D2360">
        <v>63153.43</v>
      </c>
      <c r="E2360" t="s">
        <v>9469</v>
      </c>
      <c r="F2360">
        <v>0</v>
      </c>
      <c r="G2360">
        <v>1.820000052452087</v>
      </c>
      <c r="H2360">
        <v>0</v>
      </c>
      <c r="I2360">
        <v>0</v>
      </c>
      <c r="J2360" t="s">
        <v>9470</v>
      </c>
      <c r="K2360">
        <v>5600</v>
      </c>
      <c r="L2360">
        <v>4540</v>
      </c>
      <c r="M2360">
        <v>-18.93</v>
      </c>
      <c r="N2360">
        <v>-5.52</v>
      </c>
      <c r="O2360">
        <v>-10.65</v>
      </c>
      <c r="P2360">
        <v>15.66</v>
      </c>
      <c r="Q2360">
        <v>-4.1500000000000004</v>
      </c>
      <c r="R2360">
        <v>-9.49</v>
      </c>
      <c r="S2360">
        <v>-4.92</v>
      </c>
      <c r="T2360">
        <v>2.13</v>
      </c>
      <c r="U2360">
        <v>3.53</v>
      </c>
      <c r="V2360">
        <v>2.77</v>
      </c>
      <c r="W2360">
        <v>3.33</v>
      </c>
      <c r="X2360">
        <v>0.97</v>
      </c>
      <c r="Y2360">
        <v>1.04</v>
      </c>
      <c r="Z2360">
        <v>2.59</v>
      </c>
      <c r="AA2360">
        <v>3.02</v>
      </c>
      <c r="AB2360">
        <v>5.65</v>
      </c>
      <c r="AC2360">
        <v>1.25</v>
      </c>
      <c r="AD2360">
        <v>9.7799999999999994</v>
      </c>
      <c r="AE2360">
        <v>4.7300000000000004</v>
      </c>
      <c r="AF2360">
        <v>4.503333333333333</v>
      </c>
      <c r="AG2360" t="str">
        <f>HYPERLINK("https://finance.naver.com/item/fchart.naver?code=007820", "에스엠코어 차트보기")</f>
        <v>에스엠코어 차트보기</v>
      </c>
    </row>
    <row r="2361" spans="1:33" x14ac:dyDescent="0.3">
      <c r="A2361" t="s">
        <v>9471</v>
      </c>
      <c r="B2361" t="s">
        <v>34</v>
      </c>
      <c r="C2361" t="s">
        <v>9472</v>
      </c>
      <c r="D2361">
        <v>705602.62</v>
      </c>
      <c r="E2361" t="s">
        <v>9473</v>
      </c>
      <c r="F2361">
        <v>3.58</v>
      </c>
      <c r="G2361">
        <v>0.62999999523162842</v>
      </c>
      <c r="H2361">
        <v>2274</v>
      </c>
      <c r="I2361">
        <v>1.8500000238418579</v>
      </c>
      <c r="J2361" t="s">
        <v>9474</v>
      </c>
      <c r="K2361">
        <v>10490</v>
      </c>
      <c r="L2361">
        <v>8130</v>
      </c>
      <c r="M2361">
        <v>-22.5</v>
      </c>
      <c r="N2361">
        <v>-7.09</v>
      </c>
      <c r="O2361">
        <v>-1.01</v>
      </c>
      <c r="P2361">
        <v>0.89</v>
      </c>
      <c r="Q2361">
        <v>-14.94</v>
      </c>
      <c r="R2361">
        <v>-26</v>
      </c>
      <c r="S2361">
        <v>36.74</v>
      </c>
      <c r="T2361">
        <v>1.53</v>
      </c>
      <c r="U2361">
        <v>3.84</v>
      </c>
      <c r="V2361">
        <v>2.86</v>
      </c>
      <c r="W2361">
        <v>4.46</v>
      </c>
      <c r="X2361">
        <v>2.5099999999999998</v>
      </c>
      <c r="Y2361">
        <v>4.53</v>
      </c>
      <c r="Z2361">
        <v>4.63</v>
      </c>
      <c r="AA2361">
        <v>0.26</v>
      </c>
      <c r="AB2361">
        <v>0.31</v>
      </c>
      <c r="AC2361">
        <v>3.35</v>
      </c>
      <c r="AD2361">
        <v>10.36</v>
      </c>
      <c r="AE2361">
        <v>8.11</v>
      </c>
      <c r="AF2361">
        <v>4.503333333333333</v>
      </c>
      <c r="AG2361" t="str">
        <f>HYPERLINK("https://finance.naver.com/item/fchart.naver?code=010690", "화신 차트보기")</f>
        <v>화신 차트보기</v>
      </c>
    </row>
    <row r="2362" spans="1:33" x14ac:dyDescent="0.3">
      <c r="A2362" t="s">
        <v>9475</v>
      </c>
      <c r="B2362" t="s">
        <v>34</v>
      </c>
      <c r="C2362" t="s">
        <v>9476</v>
      </c>
      <c r="D2362">
        <v>30431</v>
      </c>
      <c r="E2362" t="s">
        <v>9477</v>
      </c>
      <c r="F2362">
        <v>3.62</v>
      </c>
      <c r="G2362">
        <v>0.25</v>
      </c>
      <c r="H2362">
        <v>1420</v>
      </c>
      <c r="I2362">
        <v>2.9200000762939449</v>
      </c>
      <c r="J2362" t="s">
        <v>9478</v>
      </c>
      <c r="K2362">
        <v>6930</v>
      </c>
      <c r="L2362">
        <v>5140</v>
      </c>
      <c r="M2362">
        <v>-25.83</v>
      </c>
      <c r="N2362">
        <v>-2.4700000000000002</v>
      </c>
      <c r="O2362">
        <v>-4.68</v>
      </c>
      <c r="P2362">
        <v>0.9</v>
      </c>
      <c r="Q2362">
        <v>-7.21</v>
      </c>
      <c r="R2362">
        <v>-5.04</v>
      </c>
      <c r="S2362">
        <v>-6.62</v>
      </c>
      <c r="T2362">
        <v>0.83</v>
      </c>
      <c r="U2362">
        <v>0.9</v>
      </c>
      <c r="V2362">
        <v>1.58</v>
      </c>
      <c r="W2362">
        <v>2.67</v>
      </c>
      <c r="X2362">
        <v>0.6</v>
      </c>
      <c r="Y2362">
        <v>0.92</v>
      </c>
      <c r="Z2362">
        <v>2.98</v>
      </c>
      <c r="AA2362">
        <v>5.2</v>
      </c>
      <c r="AB2362">
        <v>0.56999999999999995</v>
      </c>
      <c r="AC2362">
        <v>2.7</v>
      </c>
      <c r="AD2362">
        <v>8.4</v>
      </c>
      <c r="AE2362">
        <v>7.2</v>
      </c>
      <c r="AF2362">
        <v>4.5083333333333337</v>
      </c>
      <c r="AG2362" t="str">
        <f>HYPERLINK("https://finance.naver.com/item/fchart.naver?code=032560", "황금에스티 차트보기")</f>
        <v>황금에스티 차트보기</v>
      </c>
    </row>
    <row r="2363" spans="1:33" x14ac:dyDescent="0.3">
      <c r="A2363" t="s">
        <v>9479</v>
      </c>
      <c r="B2363" t="s">
        <v>34</v>
      </c>
      <c r="C2363" t="s">
        <v>9480</v>
      </c>
      <c r="D2363">
        <v>101771.48</v>
      </c>
      <c r="E2363" t="s">
        <v>9481</v>
      </c>
      <c r="F2363">
        <v>0</v>
      </c>
      <c r="G2363">
        <v>0.14000000059604639</v>
      </c>
      <c r="H2363">
        <v>0</v>
      </c>
      <c r="I2363">
        <v>3.3599998950958252</v>
      </c>
      <c r="J2363" t="s">
        <v>9482</v>
      </c>
      <c r="K2363">
        <v>65300</v>
      </c>
      <c r="L2363">
        <v>59600</v>
      </c>
      <c r="M2363">
        <v>-8.73</v>
      </c>
      <c r="N2363">
        <v>-6.73</v>
      </c>
      <c r="O2363">
        <v>11.43</v>
      </c>
      <c r="P2363">
        <v>-5.88</v>
      </c>
      <c r="Q2363">
        <v>1.76</v>
      </c>
      <c r="R2363">
        <v>4.68</v>
      </c>
      <c r="S2363">
        <v>-7.98</v>
      </c>
      <c r="T2363">
        <v>1.42</v>
      </c>
      <c r="U2363">
        <v>1.54</v>
      </c>
      <c r="V2363">
        <v>2.27</v>
      </c>
      <c r="W2363">
        <v>2.77</v>
      </c>
      <c r="X2363">
        <v>1.79</v>
      </c>
      <c r="Y2363">
        <v>0.88</v>
      </c>
      <c r="Z2363">
        <v>4.74</v>
      </c>
      <c r="AA2363">
        <v>7.42</v>
      </c>
      <c r="AB2363">
        <v>2.59</v>
      </c>
      <c r="AC2363">
        <v>0.64</v>
      </c>
      <c r="AD2363">
        <v>2.61</v>
      </c>
      <c r="AE2363">
        <v>9.07</v>
      </c>
      <c r="AF2363">
        <v>4.5116666666666667</v>
      </c>
      <c r="AG2363" t="str">
        <f>HYPERLINK("https://finance.naver.com/item/fchart.naver?code=139480", "이마트 차트보기")</f>
        <v>이마트 차트보기</v>
      </c>
    </row>
    <row r="2364" spans="1:33" x14ac:dyDescent="0.3">
      <c r="A2364" t="s">
        <v>9483</v>
      </c>
      <c r="B2364" t="s">
        <v>55</v>
      </c>
      <c r="C2364" t="s">
        <v>9484</v>
      </c>
      <c r="D2364">
        <v>104447</v>
      </c>
      <c r="E2364" t="s">
        <v>9485</v>
      </c>
      <c r="F2364">
        <v>84.68</v>
      </c>
      <c r="G2364">
        <v>1.190000057220459</v>
      </c>
      <c r="H2364">
        <v>77</v>
      </c>
      <c r="I2364">
        <v>0</v>
      </c>
      <c r="J2364" t="s">
        <v>9486</v>
      </c>
      <c r="K2364">
        <v>12320</v>
      </c>
      <c r="L2364">
        <v>6520</v>
      </c>
      <c r="M2364">
        <v>-47.08</v>
      </c>
      <c r="N2364">
        <v>-3.69</v>
      </c>
      <c r="O2364">
        <v>-17.64</v>
      </c>
      <c r="P2364">
        <v>-4.9400000000000004</v>
      </c>
      <c r="Q2364">
        <v>-18.86</v>
      </c>
      <c r="R2364">
        <v>0.89</v>
      </c>
      <c r="S2364">
        <v>-16.23</v>
      </c>
      <c r="T2364">
        <v>2.4700000000000002</v>
      </c>
      <c r="U2364">
        <v>2.4300000000000002</v>
      </c>
      <c r="V2364">
        <v>2.99</v>
      </c>
      <c r="W2364">
        <v>3.54</v>
      </c>
      <c r="X2364">
        <v>3.9</v>
      </c>
      <c r="Y2364">
        <v>1.46</v>
      </c>
      <c r="Z2364">
        <v>1.49</v>
      </c>
      <c r="AA2364">
        <v>7.26</v>
      </c>
      <c r="AB2364">
        <v>1.65</v>
      </c>
      <c r="AC2364">
        <v>5.33</v>
      </c>
      <c r="AD2364">
        <v>0.23</v>
      </c>
      <c r="AE2364">
        <v>11.12</v>
      </c>
      <c r="AF2364">
        <v>4.5133333333333328</v>
      </c>
      <c r="AG2364" t="str">
        <f>HYPERLINK("https://finance.naver.com/item/fchart.naver?code=114810", "한솔아이원스 차트보기")</f>
        <v>한솔아이원스 차트보기</v>
      </c>
    </row>
    <row r="2365" spans="1:33" x14ac:dyDescent="0.3">
      <c r="A2365" t="s">
        <v>9487</v>
      </c>
      <c r="B2365" t="s">
        <v>55</v>
      </c>
      <c r="C2365" t="s">
        <v>9488</v>
      </c>
      <c r="D2365">
        <v>23288.67</v>
      </c>
      <c r="E2365" t="s">
        <v>9489</v>
      </c>
      <c r="F2365">
        <v>0</v>
      </c>
      <c r="G2365">
        <v>2.3299999237060551</v>
      </c>
      <c r="H2365">
        <v>0</v>
      </c>
      <c r="I2365">
        <v>0</v>
      </c>
      <c r="J2365" t="s">
        <v>9490</v>
      </c>
      <c r="K2365">
        <v>1350</v>
      </c>
      <c r="L2365">
        <v>845</v>
      </c>
      <c r="M2365">
        <v>-37.409999999999997</v>
      </c>
      <c r="N2365">
        <v>0.48</v>
      </c>
      <c r="O2365">
        <v>-5.01</v>
      </c>
      <c r="P2365">
        <v>-7.12</v>
      </c>
      <c r="Q2365">
        <v>4.16</v>
      </c>
      <c r="R2365">
        <v>-21.29</v>
      </c>
      <c r="S2365">
        <v>-9.08</v>
      </c>
      <c r="T2365">
        <v>1.53</v>
      </c>
      <c r="U2365">
        <v>1.81</v>
      </c>
      <c r="V2365">
        <v>1.69</v>
      </c>
      <c r="W2365">
        <v>2.14</v>
      </c>
      <c r="X2365">
        <v>1.73</v>
      </c>
      <c r="Y2365">
        <v>1.64</v>
      </c>
      <c r="Z2365">
        <v>0.31</v>
      </c>
      <c r="AA2365">
        <v>2.77</v>
      </c>
      <c r="AB2365">
        <v>4.21</v>
      </c>
      <c r="AC2365">
        <v>1.94</v>
      </c>
      <c r="AD2365">
        <v>12.31</v>
      </c>
      <c r="AE2365">
        <v>5.54</v>
      </c>
      <c r="AF2365">
        <v>4.5133333333333328</v>
      </c>
      <c r="AG2365" t="str">
        <f>HYPERLINK("https://finance.naver.com/item/fchart.naver?code=083660", "CSA 코스믹 차트보기")</f>
        <v>CSA 코스믹 차트보기</v>
      </c>
    </row>
    <row r="2366" spans="1:33" x14ac:dyDescent="0.3">
      <c r="A2366" t="s">
        <v>9491</v>
      </c>
      <c r="B2366" t="s">
        <v>55</v>
      </c>
      <c r="C2366" t="s">
        <v>9492</v>
      </c>
      <c r="D2366">
        <v>231047.86</v>
      </c>
      <c r="E2366" t="s">
        <v>9493</v>
      </c>
      <c r="F2366">
        <v>0</v>
      </c>
      <c r="G2366">
        <v>2.9300000667572021</v>
      </c>
      <c r="H2366">
        <v>0</v>
      </c>
      <c r="I2366">
        <v>0</v>
      </c>
      <c r="J2366" t="s">
        <v>9494</v>
      </c>
      <c r="K2366">
        <v>2805</v>
      </c>
      <c r="L2366">
        <v>2025</v>
      </c>
      <c r="M2366">
        <v>-27.81</v>
      </c>
      <c r="N2366">
        <v>-3.11</v>
      </c>
      <c r="O2366">
        <v>-18.739999999999998</v>
      </c>
      <c r="P2366">
        <v>20.09</v>
      </c>
      <c r="Q2366">
        <v>-10.1</v>
      </c>
      <c r="R2366">
        <v>2.95</v>
      </c>
      <c r="S2366">
        <v>-13.36</v>
      </c>
      <c r="T2366">
        <v>2.57</v>
      </c>
      <c r="U2366">
        <v>2.16</v>
      </c>
      <c r="V2366">
        <v>4.57</v>
      </c>
      <c r="W2366">
        <v>5.35</v>
      </c>
      <c r="X2366">
        <v>7.04</v>
      </c>
      <c r="Y2366">
        <v>1.27</v>
      </c>
      <c r="Z2366">
        <v>1.21</v>
      </c>
      <c r="AA2366">
        <v>8.68</v>
      </c>
      <c r="AB2366">
        <v>4.4000000000000004</v>
      </c>
      <c r="AC2366">
        <v>1.89</v>
      </c>
      <c r="AD2366">
        <v>0.42</v>
      </c>
      <c r="AE2366">
        <v>10.52</v>
      </c>
      <c r="AF2366">
        <v>4.5199999999999996</v>
      </c>
      <c r="AG2366" t="str">
        <f>HYPERLINK("https://finance.naver.com/item/fchart.naver?code=291230", "엔피 차트보기")</f>
        <v>엔피 차트보기</v>
      </c>
    </row>
    <row r="2367" spans="1:33" x14ac:dyDescent="0.3">
      <c r="A2367" t="s">
        <v>9495</v>
      </c>
      <c r="B2367" t="s">
        <v>55</v>
      </c>
      <c r="C2367" t="s">
        <v>9496</v>
      </c>
      <c r="D2367">
        <v>45538.95</v>
      </c>
      <c r="E2367" t="s">
        <v>9497</v>
      </c>
      <c r="F2367">
        <v>2.92</v>
      </c>
      <c r="G2367">
        <v>0.46000000834465032</v>
      </c>
      <c r="H2367">
        <v>3377</v>
      </c>
      <c r="I2367">
        <v>4.059999942779541</v>
      </c>
      <c r="J2367" t="s">
        <v>9498</v>
      </c>
      <c r="K2367">
        <v>14770</v>
      </c>
      <c r="L2367">
        <v>9850</v>
      </c>
      <c r="M2367">
        <v>-33.31</v>
      </c>
      <c r="N2367">
        <v>0</v>
      </c>
      <c r="O2367">
        <v>-13.16</v>
      </c>
      <c r="P2367">
        <v>9.17</v>
      </c>
      <c r="Q2367">
        <v>-13.39</v>
      </c>
      <c r="R2367">
        <v>-0.16</v>
      </c>
      <c r="S2367">
        <v>-18.18</v>
      </c>
      <c r="T2367">
        <v>2.2200000000000002</v>
      </c>
      <c r="U2367">
        <v>2.14</v>
      </c>
      <c r="V2367">
        <v>2.04</v>
      </c>
      <c r="W2367">
        <v>2.14</v>
      </c>
      <c r="X2367">
        <v>2.2599999999999998</v>
      </c>
      <c r="Y2367">
        <v>1.78</v>
      </c>
      <c r="Z2367">
        <v>0</v>
      </c>
      <c r="AA2367">
        <v>6.15</v>
      </c>
      <c r="AB2367">
        <v>4.5</v>
      </c>
      <c r="AC2367">
        <v>6.26</v>
      </c>
      <c r="AD2367">
        <v>7.0000000000000007E-2</v>
      </c>
      <c r="AE2367">
        <v>10.210000000000001</v>
      </c>
      <c r="AF2367">
        <v>4.5316666666666672</v>
      </c>
      <c r="AG2367" t="str">
        <f>HYPERLINK("https://finance.naver.com/item/fchart.naver?code=298540", "더네이쳐홀딩스 차트보기")</f>
        <v>더네이쳐홀딩스 차트보기</v>
      </c>
    </row>
    <row r="2368" spans="1:33" x14ac:dyDescent="0.3">
      <c r="A2368" t="s">
        <v>9499</v>
      </c>
      <c r="B2368" t="s">
        <v>34</v>
      </c>
      <c r="C2368" t="s">
        <v>9500</v>
      </c>
      <c r="D2368">
        <v>274755.71000000002</v>
      </c>
      <c r="E2368" t="s">
        <v>9501</v>
      </c>
      <c r="F2368">
        <v>0</v>
      </c>
      <c r="G2368">
        <v>0.60000002384185791</v>
      </c>
      <c r="H2368">
        <v>0</v>
      </c>
      <c r="I2368">
        <v>0</v>
      </c>
      <c r="J2368" t="s">
        <v>9502</v>
      </c>
      <c r="K2368">
        <v>1924</v>
      </c>
      <c r="L2368">
        <v>1410</v>
      </c>
      <c r="M2368">
        <v>-26.72</v>
      </c>
      <c r="N2368">
        <v>3.91</v>
      </c>
      <c r="O2368">
        <v>-4.13</v>
      </c>
      <c r="P2368">
        <v>-0.56000000000000005</v>
      </c>
      <c r="Q2368">
        <v>-11.2</v>
      </c>
      <c r="R2368">
        <v>-9.34</v>
      </c>
      <c r="S2368">
        <v>-8.92</v>
      </c>
      <c r="T2368">
        <v>1.43</v>
      </c>
      <c r="U2368">
        <v>1.83</v>
      </c>
      <c r="V2368">
        <v>1.82</v>
      </c>
      <c r="W2368">
        <v>3.47</v>
      </c>
      <c r="X2368">
        <v>1.29</v>
      </c>
      <c r="Y2368">
        <v>0.78</v>
      </c>
      <c r="Z2368">
        <v>2.73</v>
      </c>
      <c r="AA2368">
        <v>2.2599999999999998</v>
      </c>
      <c r="AB2368">
        <v>0.31</v>
      </c>
      <c r="AC2368">
        <v>3.23</v>
      </c>
      <c r="AD2368">
        <v>7.24</v>
      </c>
      <c r="AE2368">
        <v>11.44</v>
      </c>
      <c r="AF2368">
        <v>4.5350000000000001</v>
      </c>
      <c r="AG2368" t="str">
        <f>HYPERLINK("https://finance.naver.com/item/fchart.naver?code=008350", "남선알미늄 차트보기")</f>
        <v>남선알미늄 차트보기</v>
      </c>
    </row>
    <row r="2369" spans="1:33" x14ac:dyDescent="0.3">
      <c r="A2369" t="s">
        <v>9503</v>
      </c>
      <c r="B2369" t="s">
        <v>55</v>
      </c>
      <c r="C2369" t="s">
        <v>9504</v>
      </c>
      <c r="D2369">
        <v>77605.67</v>
      </c>
      <c r="E2369" t="s">
        <v>9505</v>
      </c>
      <c r="F2369">
        <v>0</v>
      </c>
      <c r="G2369">
        <v>3.6099998950958252</v>
      </c>
      <c r="H2369">
        <v>0</v>
      </c>
      <c r="I2369">
        <v>0</v>
      </c>
      <c r="J2369" t="s">
        <v>9506</v>
      </c>
      <c r="K2369">
        <v>9650</v>
      </c>
      <c r="L2369">
        <v>9890</v>
      </c>
      <c r="M2369">
        <v>2.4900000000000002</v>
      </c>
      <c r="N2369">
        <v>-1.59</v>
      </c>
      <c r="O2369">
        <v>3.95</v>
      </c>
      <c r="P2369">
        <v>-19.88</v>
      </c>
      <c r="Q2369">
        <v>10.83</v>
      </c>
      <c r="R2369">
        <v>-22.74</v>
      </c>
      <c r="S2369">
        <v>93.11</v>
      </c>
      <c r="T2369">
        <v>2.71</v>
      </c>
      <c r="U2369">
        <v>3.69</v>
      </c>
      <c r="V2369">
        <v>2.75</v>
      </c>
      <c r="W2369">
        <v>5.61</v>
      </c>
      <c r="X2369">
        <v>3.55</v>
      </c>
      <c r="Y2369">
        <v>9.3000000000000007</v>
      </c>
      <c r="Z2369">
        <v>0.59</v>
      </c>
      <c r="AA2369">
        <v>1.07</v>
      </c>
      <c r="AB2369">
        <v>7.23</v>
      </c>
      <c r="AC2369">
        <v>1.93</v>
      </c>
      <c r="AD2369">
        <v>6.41</v>
      </c>
      <c r="AE2369">
        <v>10.01</v>
      </c>
      <c r="AF2369">
        <v>4.54</v>
      </c>
      <c r="AG2369" t="str">
        <f>HYPERLINK("https://finance.naver.com/item/fchart.naver?code=371950", "풍원정밀 차트보기")</f>
        <v>풍원정밀 차트보기</v>
      </c>
    </row>
    <row r="2370" spans="1:33" x14ac:dyDescent="0.3">
      <c r="A2370" t="s">
        <v>9507</v>
      </c>
      <c r="B2370" t="s">
        <v>34</v>
      </c>
      <c r="C2370" t="s">
        <v>9508</v>
      </c>
      <c r="D2370">
        <v>134404.57</v>
      </c>
      <c r="E2370" t="s">
        <v>9509</v>
      </c>
      <c r="F2370">
        <v>0</v>
      </c>
      <c r="G2370">
        <v>1.809999942779541</v>
      </c>
      <c r="H2370">
        <v>0</v>
      </c>
      <c r="I2370">
        <v>0</v>
      </c>
      <c r="J2370" t="s">
        <v>9510</v>
      </c>
      <c r="K2370">
        <v>7770</v>
      </c>
      <c r="L2370">
        <v>5050</v>
      </c>
      <c r="M2370">
        <v>-35.01</v>
      </c>
      <c r="N2370">
        <v>4.34</v>
      </c>
      <c r="O2370">
        <v>-7.96</v>
      </c>
      <c r="P2370">
        <v>-5.93</v>
      </c>
      <c r="Q2370">
        <v>-11.39</v>
      </c>
      <c r="R2370">
        <v>-17.940000000000001</v>
      </c>
      <c r="S2370">
        <v>-3.58</v>
      </c>
      <c r="T2370">
        <v>2.8</v>
      </c>
      <c r="U2370">
        <v>2.56</v>
      </c>
      <c r="V2370">
        <v>3.03</v>
      </c>
      <c r="W2370">
        <v>4.55</v>
      </c>
      <c r="X2370">
        <v>1.08</v>
      </c>
      <c r="Y2370">
        <v>2.37</v>
      </c>
      <c r="Z2370">
        <v>1.55</v>
      </c>
      <c r="AA2370">
        <v>3.11</v>
      </c>
      <c r="AB2370">
        <v>1.96</v>
      </c>
      <c r="AC2370">
        <v>2.5</v>
      </c>
      <c r="AD2370">
        <v>16.61</v>
      </c>
      <c r="AE2370">
        <v>1.51</v>
      </c>
      <c r="AF2370">
        <v>4.54</v>
      </c>
      <c r="AG2370" t="str">
        <f>HYPERLINK("https://finance.naver.com/item/fchart.naver?code=011810", "STX 차트보기")</f>
        <v>STX 차트보기</v>
      </c>
    </row>
    <row r="2371" spans="1:33" x14ac:dyDescent="0.3">
      <c r="A2371" t="s">
        <v>9511</v>
      </c>
      <c r="B2371" t="s">
        <v>55</v>
      </c>
      <c r="C2371" t="s">
        <v>9512</v>
      </c>
      <c r="D2371">
        <v>305420.90000000002</v>
      </c>
      <c r="E2371" t="s">
        <v>9513</v>
      </c>
      <c r="F2371">
        <v>9.1999999999999993</v>
      </c>
      <c r="G2371">
        <v>0.49000000953674322</v>
      </c>
      <c r="H2371">
        <v>1591</v>
      </c>
      <c r="I2371">
        <v>0</v>
      </c>
      <c r="J2371" t="s">
        <v>9514</v>
      </c>
      <c r="K2371">
        <v>33900</v>
      </c>
      <c r="L2371">
        <v>14630</v>
      </c>
      <c r="M2371">
        <v>-56.84</v>
      </c>
      <c r="N2371">
        <v>-14.24</v>
      </c>
      <c r="O2371">
        <v>-14.33</v>
      </c>
      <c r="P2371">
        <v>-3.82</v>
      </c>
      <c r="Q2371">
        <v>-18.03</v>
      </c>
      <c r="R2371">
        <v>-27.99</v>
      </c>
      <c r="S2371">
        <v>-11.03</v>
      </c>
      <c r="T2371">
        <v>3.69</v>
      </c>
      <c r="U2371">
        <v>4.93</v>
      </c>
      <c r="V2371">
        <v>3.77</v>
      </c>
      <c r="W2371">
        <v>3.9</v>
      </c>
      <c r="X2371">
        <v>3.12</v>
      </c>
      <c r="Y2371">
        <v>1.87</v>
      </c>
      <c r="Z2371">
        <v>3.86</v>
      </c>
      <c r="AA2371">
        <v>2.91</v>
      </c>
      <c r="AB2371">
        <v>1.01</v>
      </c>
      <c r="AC2371">
        <v>4.62</v>
      </c>
      <c r="AD2371">
        <v>8.9700000000000006</v>
      </c>
      <c r="AE2371">
        <v>5.9</v>
      </c>
      <c r="AF2371">
        <v>4.544999999999999</v>
      </c>
      <c r="AG2371" t="str">
        <f>HYPERLINK("https://finance.naver.com/item/fchart.naver?code=393890", "더블유씨피 차트보기")</f>
        <v>더블유씨피 차트보기</v>
      </c>
    </row>
    <row r="2372" spans="1:33" x14ac:dyDescent="0.3">
      <c r="A2372" t="s">
        <v>9515</v>
      </c>
      <c r="B2372" t="s">
        <v>55</v>
      </c>
      <c r="C2372" t="s">
        <v>9516</v>
      </c>
      <c r="D2372">
        <v>35702.14</v>
      </c>
      <c r="E2372" t="s">
        <v>9517</v>
      </c>
      <c r="F2372">
        <v>4.79</v>
      </c>
      <c r="G2372">
        <v>0.5</v>
      </c>
      <c r="H2372">
        <v>568</v>
      </c>
      <c r="I2372">
        <v>3.6800000667572021</v>
      </c>
      <c r="J2372" t="s">
        <v>9518</v>
      </c>
      <c r="K2372">
        <v>4080</v>
      </c>
      <c r="L2372">
        <v>2720</v>
      </c>
      <c r="M2372">
        <v>-33.33</v>
      </c>
      <c r="N2372">
        <v>-3.37</v>
      </c>
      <c r="O2372">
        <v>-9.3800000000000008</v>
      </c>
      <c r="P2372">
        <v>0.98</v>
      </c>
      <c r="Q2372">
        <v>-10.81</v>
      </c>
      <c r="R2372">
        <v>-10.17</v>
      </c>
      <c r="S2372">
        <v>-5.35</v>
      </c>
      <c r="T2372">
        <v>2.31</v>
      </c>
      <c r="U2372">
        <v>1.04</v>
      </c>
      <c r="V2372">
        <v>2.2200000000000002</v>
      </c>
      <c r="W2372">
        <v>3.8</v>
      </c>
      <c r="X2372">
        <v>1.1100000000000001</v>
      </c>
      <c r="Y2372">
        <v>1.23</v>
      </c>
      <c r="Z2372">
        <v>1.46</v>
      </c>
      <c r="AA2372">
        <v>9.02</v>
      </c>
      <c r="AB2372">
        <v>0.44</v>
      </c>
      <c r="AC2372">
        <v>2.84</v>
      </c>
      <c r="AD2372">
        <v>9.16</v>
      </c>
      <c r="AE2372">
        <v>4.3499999999999996</v>
      </c>
      <c r="AF2372">
        <v>4.5450000000000008</v>
      </c>
      <c r="AG2372" t="str">
        <f>HYPERLINK("https://finance.naver.com/item/fchart.naver?code=092300", "현우산업 차트보기")</f>
        <v>현우산업 차트보기</v>
      </c>
    </row>
    <row r="2373" spans="1:33" x14ac:dyDescent="0.3">
      <c r="A2373" t="s">
        <v>9519</v>
      </c>
      <c r="B2373" t="s">
        <v>34</v>
      </c>
      <c r="C2373" t="s">
        <v>9520</v>
      </c>
      <c r="D2373">
        <v>58300.19</v>
      </c>
      <c r="E2373" t="s">
        <v>9521</v>
      </c>
      <c r="F2373">
        <v>0</v>
      </c>
      <c r="G2373">
        <v>1.0099999904632571</v>
      </c>
      <c r="H2373">
        <v>0</v>
      </c>
      <c r="I2373">
        <v>0</v>
      </c>
      <c r="J2373" t="s">
        <v>9522</v>
      </c>
      <c r="K2373">
        <v>11730</v>
      </c>
      <c r="L2373">
        <v>7190</v>
      </c>
      <c r="M2373">
        <v>-38.700000000000003</v>
      </c>
      <c r="N2373">
        <v>-6.5</v>
      </c>
      <c r="O2373">
        <v>-10.97</v>
      </c>
      <c r="P2373">
        <v>-5.86</v>
      </c>
      <c r="Q2373">
        <v>3.59</v>
      </c>
      <c r="R2373">
        <v>-13.86</v>
      </c>
      <c r="S2373">
        <v>-8.0299999999999994</v>
      </c>
      <c r="T2373">
        <v>2.68</v>
      </c>
      <c r="U2373">
        <v>1.66</v>
      </c>
      <c r="V2373">
        <v>1.95</v>
      </c>
      <c r="W2373">
        <v>8.49</v>
      </c>
      <c r="X2373">
        <v>1.46</v>
      </c>
      <c r="Y2373">
        <v>1.5</v>
      </c>
      <c r="Z2373">
        <v>2.4300000000000002</v>
      </c>
      <c r="AA2373">
        <v>6.61</v>
      </c>
      <c r="AB2373">
        <v>3.01</v>
      </c>
      <c r="AC2373">
        <v>0.42</v>
      </c>
      <c r="AD2373">
        <v>9.49</v>
      </c>
      <c r="AE2373">
        <v>5.35</v>
      </c>
      <c r="AF2373">
        <v>4.5516666666666667</v>
      </c>
      <c r="AG2373" t="str">
        <f>HYPERLINK("https://finance.naver.com/item/fchart.naver?code=005950", "이수화학 차트보기")</f>
        <v>이수화학 차트보기</v>
      </c>
    </row>
    <row r="2374" spans="1:33" x14ac:dyDescent="0.3">
      <c r="A2374" t="s">
        <v>9523</v>
      </c>
      <c r="B2374" t="s">
        <v>55</v>
      </c>
      <c r="C2374" t="s">
        <v>9524</v>
      </c>
      <c r="D2374">
        <v>112757.57</v>
      </c>
      <c r="E2374" t="s">
        <v>9525</v>
      </c>
      <c r="F2374">
        <v>0</v>
      </c>
      <c r="G2374">
        <v>15.039999961853029</v>
      </c>
      <c r="H2374">
        <v>0</v>
      </c>
      <c r="I2374">
        <v>0</v>
      </c>
      <c r="J2374" t="s">
        <v>9526</v>
      </c>
      <c r="K2374">
        <v>36600</v>
      </c>
      <c r="L2374">
        <v>31200</v>
      </c>
      <c r="M2374">
        <v>-14.75</v>
      </c>
      <c r="N2374">
        <v>-5.45</v>
      </c>
      <c r="O2374">
        <v>30.42</v>
      </c>
      <c r="P2374">
        <v>-18.739999999999998</v>
      </c>
      <c r="Q2374">
        <v>-2.4300000000000002</v>
      </c>
      <c r="R2374">
        <v>-15.54</v>
      </c>
      <c r="S2374">
        <v>-6.31</v>
      </c>
      <c r="T2374">
        <v>4.54</v>
      </c>
      <c r="U2374">
        <v>3.39</v>
      </c>
      <c r="V2374">
        <v>3.16</v>
      </c>
      <c r="W2374">
        <v>3.77</v>
      </c>
      <c r="X2374">
        <v>2.19</v>
      </c>
      <c r="Y2374">
        <v>1.82</v>
      </c>
      <c r="Z2374">
        <v>1.2</v>
      </c>
      <c r="AA2374">
        <v>8.9700000000000006</v>
      </c>
      <c r="AB2374">
        <v>5.93</v>
      </c>
      <c r="AC2374">
        <v>0.64</v>
      </c>
      <c r="AD2374">
        <v>7.1</v>
      </c>
      <c r="AE2374">
        <v>3.47</v>
      </c>
      <c r="AF2374">
        <v>4.5516666666666667</v>
      </c>
      <c r="AG2374" t="str">
        <f>HYPERLINK("https://finance.naver.com/item/fchart.naver?code=140410", "메지온 차트보기")</f>
        <v>메지온 차트보기</v>
      </c>
    </row>
    <row r="2375" spans="1:33" x14ac:dyDescent="0.3">
      <c r="A2375" t="s">
        <v>9527</v>
      </c>
      <c r="B2375" t="s">
        <v>55</v>
      </c>
      <c r="C2375" t="s">
        <v>9528</v>
      </c>
      <c r="D2375">
        <v>207169.71</v>
      </c>
      <c r="E2375" t="s">
        <v>9529</v>
      </c>
      <c r="F2375">
        <v>0</v>
      </c>
      <c r="G2375">
        <v>1.2899999618530269</v>
      </c>
      <c r="H2375">
        <v>0</v>
      </c>
      <c r="I2375">
        <v>0</v>
      </c>
      <c r="J2375" t="s">
        <v>9530</v>
      </c>
      <c r="K2375">
        <v>17290</v>
      </c>
      <c r="L2375">
        <v>7300</v>
      </c>
      <c r="M2375">
        <v>-57.78</v>
      </c>
      <c r="N2375">
        <v>-10.87</v>
      </c>
      <c r="O2375">
        <v>-1.65</v>
      </c>
      <c r="P2375">
        <v>12.2</v>
      </c>
      <c r="Q2375">
        <v>-22.67</v>
      </c>
      <c r="R2375">
        <v>-24.94</v>
      </c>
      <c r="S2375">
        <v>-12.78</v>
      </c>
      <c r="T2375">
        <v>3.07</v>
      </c>
      <c r="U2375">
        <v>4.83</v>
      </c>
      <c r="V2375">
        <v>8.34</v>
      </c>
      <c r="W2375">
        <v>5.86</v>
      </c>
      <c r="X2375">
        <v>1.92</v>
      </c>
      <c r="Y2375">
        <v>2.5</v>
      </c>
      <c r="Z2375">
        <v>3.54</v>
      </c>
      <c r="AA2375">
        <v>0.34</v>
      </c>
      <c r="AB2375">
        <v>1.46</v>
      </c>
      <c r="AC2375">
        <v>3.87</v>
      </c>
      <c r="AD2375">
        <v>12.99</v>
      </c>
      <c r="AE2375">
        <v>5.1100000000000003</v>
      </c>
      <c r="AF2375">
        <v>4.5516666666666667</v>
      </c>
      <c r="AG2375" t="str">
        <f>HYPERLINK("https://finance.naver.com/item/fchart.naver?code=424980", "마이크로투나노 차트보기")</f>
        <v>마이크로투나노 차트보기</v>
      </c>
    </row>
    <row r="2376" spans="1:33" x14ac:dyDescent="0.3">
      <c r="A2376" t="s">
        <v>9531</v>
      </c>
      <c r="B2376" t="s">
        <v>55</v>
      </c>
      <c r="C2376" t="s">
        <v>9532</v>
      </c>
      <c r="D2376">
        <v>79372.710000000006</v>
      </c>
      <c r="E2376" t="s">
        <v>9533</v>
      </c>
      <c r="F2376">
        <v>0</v>
      </c>
      <c r="G2376">
        <v>0.67000001668930054</v>
      </c>
      <c r="H2376">
        <v>0</v>
      </c>
      <c r="I2376">
        <v>0</v>
      </c>
      <c r="J2376" t="s">
        <v>9534</v>
      </c>
      <c r="K2376">
        <v>2690</v>
      </c>
      <c r="L2376">
        <v>4675</v>
      </c>
      <c r="M2376">
        <v>73.790000000000006</v>
      </c>
      <c r="N2376">
        <v>4.12</v>
      </c>
      <c r="O2376">
        <v>-3.68</v>
      </c>
      <c r="P2376">
        <v>19.440000000000001</v>
      </c>
      <c r="Q2376">
        <v>20.27</v>
      </c>
      <c r="R2376">
        <v>-10.29</v>
      </c>
      <c r="S2376">
        <v>30.72</v>
      </c>
      <c r="T2376">
        <v>1.59</v>
      </c>
      <c r="U2376">
        <v>2.4300000000000002</v>
      </c>
      <c r="V2376">
        <v>3.67</v>
      </c>
      <c r="W2376">
        <v>4.9800000000000004</v>
      </c>
      <c r="X2376">
        <v>3.12</v>
      </c>
      <c r="Y2376">
        <v>2.91</v>
      </c>
      <c r="Z2376">
        <v>2.59</v>
      </c>
      <c r="AA2376">
        <v>1.51</v>
      </c>
      <c r="AB2376">
        <v>5.3</v>
      </c>
      <c r="AC2376">
        <v>4.07</v>
      </c>
      <c r="AD2376">
        <v>3.3</v>
      </c>
      <c r="AE2376">
        <v>10.56</v>
      </c>
      <c r="AF2376">
        <v>4.5549999999999997</v>
      </c>
      <c r="AG2376" t="str">
        <f>HYPERLINK("https://finance.naver.com/item/fchart.naver?code=081580", "성우전자 차트보기")</f>
        <v>성우전자 차트보기</v>
      </c>
    </row>
    <row r="2377" spans="1:33" x14ac:dyDescent="0.3">
      <c r="A2377" t="s">
        <v>9535</v>
      </c>
      <c r="B2377" t="s">
        <v>34</v>
      </c>
      <c r="C2377" t="s">
        <v>9536</v>
      </c>
      <c r="D2377">
        <v>433605.52</v>
      </c>
      <c r="E2377" t="s">
        <v>9537</v>
      </c>
      <c r="F2377">
        <v>0</v>
      </c>
      <c r="G2377">
        <v>31.360000610351559</v>
      </c>
      <c r="H2377">
        <v>0</v>
      </c>
      <c r="I2377">
        <v>0</v>
      </c>
      <c r="J2377" t="s">
        <v>9538</v>
      </c>
      <c r="K2377">
        <v>89600</v>
      </c>
      <c r="L2377">
        <v>113600</v>
      </c>
      <c r="M2377">
        <v>26.79</v>
      </c>
      <c r="N2377">
        <v>-0.7</v>
      </c>
      <c r="O2377">
        <v>14.35</v>
      </c>
      <c r="P2377">
        <v>-7.47</v>
      </c>
      <c r="Q2377">
        <v>32.03</v>
      </c>
      <c r="R2377">
        <v>8.6199999999999992</v>
      </c>
      <c r="S2377">
        <v>-9.67</v>
      </c>
      <c r="T2377">
        <v>4.12</v>
      </c>
      <c r="U2377">
        <v>2.67</v>
      </c>
      <c r="V2377">
        <v>2.46</v>
      </c>
      <c r="W2377">
        <v>4.01</v>
      </c>
      <c r="X2377">
        <v>1.57</v>
      </c>
      <c r="Y2377">
        <v>1.81</v>
      </c>
      <c r="Z2377">
        <v>0.17</v>
      </c>
      <c r="AA2377">
        <v>5.37</v>
      </c>
      <c r="AB2377">
        <v>3.04</v>
      </c>
      <c r="AC2377">
        <v>7.99</v>
      </c>
      <c r="AD2377">
        <v>5.49</v>
      </c>
      <c r="AE2377">
        <v>5.34</v>
      </c>
      <c r="AF2377">
        <v>4.5666666666666673</v>
      </c>
      <c r="AG2377" t="str">
        <f>HYPERLINK("https://finance.naver.com/item/fchart.naver?code=326030", "SK바이오팜 차트보기")</f>
        <v>SK바이오팜 차트보기</v>
      </c>
    </row>
    <row r="2378" spans="1:33" x14ac:dyDescent="0.3">
      <c r="A2378" t="s">
        <v>9539</v>
      </c>
      <c r="B2378" t="s">
        <v>55</v>
      </c>
      <c r="C2378" t="s">
        <v>9540</v>
      </c>
      <c r="D2378">
        <v>97920.86</v>
      </c>
      <c r="E2378" t="s">
        <v>9541</v>
      </c>
      <c r="F2378">
        <v>0</v>
      </c>
      <c r="G2378">
        <v>0.34999999403953552</v>
      </c>
      <c r="H2378">
        <v>0</v>
      </c>
      <c r="I2378">
        <v>0</v>
      </c>
      <c r="J2378" t="s">
        <v>9542</v>
      </c>
      <c r="K2378">
        <v>755</v>
      </c>
      <c r="L2378">
        <v>407</v>
      </c>
      <c r="M2378">
        <v>-46.09</v>
      </c>
      <c r="N2378">
        <v>0</v>
      </c>
      <c r="O2378">
        <v>-14.96</v>
      </c>
      <c r="P2378">
        <v>-4.5999999999999996</v>
      </c>
      <c r="Q2378">
        <v>-4.66</v>
      </c>
      <c r="R2378">
        <v>-16.18</v>
      </c>
      <c r="S2378">
        <v>-8.5</v>
      </c>
      <c r="T2378">
        <v>0.94</v>
      </c>
      <c r="U2378">
        <v>1.21</v>
      </c>
      <c r="V2378">
        <v>2.2400000000000002</v>
      </c>
      <c r="W2378">
        <v>3.55</v>
      </c>
      <c r="X2378">
        <v>2.37</v>
      </c>
      <c r="Y2378">
        <v>1.75</v>
      </c>
      <c r="Z2378">
        <v>0</v>
      </c>
      <c r="AA2378">
        <v>12.36</v>
      </c>
      <c r="AB2378">
        <v>2.0499999999999998</v>
      </c>
      <c r="AC2378">
        <v>1.31</v>
      </c>
      <c r="AD2378">
        <v>6.83</v>
      </c>
      <c r="AE2378">
        <v>4.8600000000000003</v>
      </c>
      <c r="AF2378">
        <v>4.5683333333333334</v>
      </c>
      <c r="AG2378" t="str">
        <f>HYPERLINK("https://finance.naver.com/item/fchart.naver?code=193250", "링크드 차트보기")</f>
        <v>링크드 차트보기</v>
      </c>
    </row>
    <row r="2379" spans="1:33" x14ac:dyDescent="0.3">
      <c r="A2379" t="s">
        <v>9543</v>
      </c>
      <c r="B2379" t="s">
        <v>55</v>
      </c>
      <c r="C2379" t="s">
        <v>9544</v>
      </c>
      <c r="D2379">
        <v>220577.62</v>
      </c>
      <c r="E2379" t="s">
        <v>9545</v>
      </c>
      <c r="F2379">
        <v>0</v>
      </c>
      <c r="G2379">
        <v>0.92000001668930054</v>
      </c>
      <c r="H2379">
        <v>0</v>
      </c>
      <c r="I2379">
        <v>1.179999947547913</v>
      </c>
      <c r="J2379" t="s">
        <v>9546</v>
      </c>
      <c r="K2379">
        <v>34000</v>
      </c>
      <c r="L2379">
        <v>13600</v>
      </c>
      <c r="M2379">
        <v>-60</v>
      </c>
      <c r="N2379">
        <v>-15.53</v>
      </c>
      <c r="O2379">
        <v>-12.74</v>
      </c>
      <c r="P2379">
        <v>-9</v>
      </c>
      <c r="Q2379">
        <v>-29.75</v>
      </c>
      <c r="R2379">
        <v>-16.07</v>
      </c>
      <c r="S2379">
        <v>5.42</v>
      </c>
      <c r="T2379">
        <v>4.25</v>
      </c>
      <c r="U2379">
        <v>2.41</v>
      </c>
      <c r="V2379">
        <v>3.01</v>
      </c>
      <c r="W2379">
        <v>4.55</v>
      </c>
      <c r="X2379">
        <v>2.33</v>
      </c>
      <c r="Y2379">
        <v>2.64</v>
      </c>
      <c r="Z2379">
        <v>3.65</v>
      </c>
      <c r="AA2379">
        <v>5.29</v>
      </c>
      <c r="AB2379">
        <v>2.99</v>
      </c>
      <c r="AC2379">
        <v>6.54</v>
      </c>
      <c r="AD2379">
        <v>6.9</v>
      </c>
      <c r="AE2379">
        <v>2.0499999999999998</v>
      </c>
      <c r="AF2379">
        <v>4.5699999999999994</v>
      </c>
      <c r="AG2379" t="str">
        <f>HYPERLINK("https://finance.naver.com/item/fchart.naver?code=222800", "심텍 차트보기")</f>
        <v>심텍 차트보기</v>
      </c>
    </row>
    <row r="2380" spans="1:33" x14ac:dyDescent="0.3">
      <c r="A2380" t="s">
        <v>9547</v>
      </c>
      <c r="B2380" t="s">
        <v>55</v>
      </c>
      <c r="C2380" t="s">
        <v>9548</v>
      </c>
      <c r="D2380">
        <v>10088.1</v>
      </c>
      <c r="E2380" t="s">
        <v>9549</v>
      </c>
      <c r="F2380">
        <v>37.81</v>
      </c>
      <c r="G2380">
        <v>0.70999997854232788</v>
      </c>
      <c r="H2380">
        <v>160</v>
      </c>
      <c r="I2380">
        <v>0</v>
      </c>
      <c r="J2380" t="s">
        <v>9550</v>
      </c>
      <c r="K2380">
        <v>9900</v>
      </c>
      <c r="L2380">
        <v>6050</v>
      </c>
      <c r="M2380">
        <v>-38.89</v>
      </c>
      <c r="N2380">
        <v>-0.82</v>
      </c>
      <c r="O2380">
        <v>-7.98</v>
      </c>
      <c r="P2380">
        <v>-4.17</v>
      </c>
      <c r="Q2380">
        <v>-11.05</v>
      </c>
      <c r="R2380">
        <v>-9.85</v>
      </c>
      <c r="S2380">
        <v>-12.27</v>
      </c>
      <c r="T2380">
        <v>1.61</v>
      </c>
      <c r="U2380">
        <v>1.38</v>
      </c>
      <c r="V2380">
        <v>2.4700000000000002</v>
      </c>
      <c r="W2380">
        <v>5.0199999999999996</v>
      </c>
      <c r="X2380">
        <v>1.54</v>
      </c>
      <c r="Y2380">
        <v>1.1299999999999999</v>
      </c>
      <c r="Z2380">
        <v>0.51</v>
      </c>
      <c r="AA2380">
        <v>5.78</v>
      </c>
      <c r="AB2380">
        <v>1.69</v>
      </c>
      <c r="AC2380">
        <v>2.2000000000000002</v>
      </c>
      <c r="AD2380">
        <v>6.4</v>
      </c>
      <c r="AE2380">
        <v>10.86</v>
      </c>
      <c r="AF2380">
        <v>4.5733333333333333</v>
      </c>
      <c r="AG2380" t="str">
        <f>HYPERLINK("https://finance.naver.com/item/fchart.naver?code=071670", "에이테크솔루션 차트보기")</f>
        <v>에이테크솔루션 차트보기</v>
      </c>
    </row>
    <row r="2381" spans="1:33" x14ac:dyDescent="0.3">
      <c r="A2381" t="s">
        <v>9551</v>
      </c>
      <c r="B2381" t="s">
        <v>55</v>
      </c>
      <c r="C2381" t="s">
        <v>9552</v>
      </c>
      <c r="D2381">
        <v>22209.19</v>
      </c>
      <c r="E2381" t="s">
        <v>9553</v>
      </c>
      <c r="F2381">
        <v>14.99</v>
      </c>
      <c r="G2381">
        <v>2.7999999523162842</v>
      </c>
      <c r="H2381">
        <v>1551</v>
      </c>
      <c r="I2381">
        <v>0</v>
      </c>
      <c r="J2381" t="s">
        <v>9554</v>
      </c>
      <c r="K2381">
        <v>35750</v>
      </c>
      <c r="L2381">
        <v>23250</v>
      </c>
      <c r="M2381">
        <v>-34.97</v>
      </c>
      <c r="N2381">
        <v>7.89</v>
      </c>
      <c r="O2381">
        <v>-17.829999999999998</v>
      </c>
      <c r="P2381">
        <v>14.11</v>
      </c>
      <c r="Q2381">
        <v>-21.77</v>
      </c>
      <c r="R2381">
        <v>-17.34</v>
      </c>
      <c r="S2381">
        <v>-7.77</v>
      </c>
      <c r="T2381">
        <v>4.82</v>
      </c>
      <c r="U2381">
        <v>1.77</v>
      </c>
      <c r="V2381">
        <v>3.19</v>
      </c>
      <c r="W2381">
        <v>4.58</v>
      </c>
      <c r="X2381">
        <v>3.53</v>
      </c>
      <c r="Y2381">
        <v>4.6399999999999997</v>
      </c>
      <c r="Z2381">
        <v>1.64</v>
      </c>
      <c r="AA2381">
        <v>10.07</v>
      </c>
      <c r="AB2381">
        <v>4.42</v>
      </c>
      <c r="AC2381">
        <v>4.75</v>
      </c>
      <c r="AD2381">
        <v>4.91</v>
      </c>
      <c r="AE2381">
        <v>1.67</v>
      </c>
      <c r="AF2381">
        <v>4.5766666666666671</v>
      </c>
      <c r="AG2381" t="str">
        <f>HYPERLINK("https://finance.naver.com/item/fchart.naver?code=453860", "에이에스텍 차트보기")</f>
        <v>에이에스텍 차트보기</v>
      </c>
    </row>
    <row r="2382" spans="1:33" x14ac:dyDescent="0.3">
      <c r="A2382" t="s">
        <v>9555</v>
      </c>
      <c r="B2382" t="s">
        <v>34</v>
      </c>
      <c r="C2382" t="s">
        <v>9556</v>
      </c>
      <c r="D2382">
        <v>47979.519999999997</v>
      </c>
      <c r="E2382" t="s">
        <v>9557</v>
      </c>
      <c r="J2382" t="s">
        <v>9558</v>
      </c>
      <c r="K2382">
        <v>3295</v>
      </c>
      <c r="L2382">
        <v>2810</v>
      </c>
      <c r="M2382">
        <v>-14.72</v>
      </c>
      <c r="N2382">
        <v>-4.91</v>
      </c>
      <c r="O2382">
        <v>-5.63</v>
      </c>
      <c r="P2382">
        <v>-1.26</v>
      </c>
      <c r="Q2382">
        <v>-0.31</v>
      </c>
      <c r="R2382">
        <v>4.58</v>
      </c>
      <c r="S2382">
        <v>-2.2200000000000002</v>
      </c>
      <c r="T2382">
        <v>0.95</v>
      </c>
      <c r="U2382">
        <v>0.67</v>
      </c>
      <c r="V2382">
        <v>0.52</v>
      </c>
      <c r="W2382">
        <v>1.1599999999999999</v>
      </c>
      <c r="X2382">
        <v>0.6</v>
      </c>
      <c r="Y2382">
        <v>0.62</v>
      </c>
      <c r="Z2382">
        <v>5.17</v>
      </c>
      <c r="AA2382">
        <v>8.4</v>
      </c>
      <c r="AB2382">
        <v>2.42</v>
      </c>
      <c r="AC2382">
        <v>0.27</v>
      </c>
      <c r="AD2382">
        <v>7.63</v>
      </c>
      <c r="AE2382">
        <v>3.58</v>
      </c>
      <c r="AF2382">
        <v>4.5783333333333331</v>
      </c>
      <c r="AG2382" t="str">
        <f>HYPERLINK("https://finance.naver.com/item/fchart.naver?code=357250", "미래에셋맵스리츠 차트보기")</f>
        <v>미래에셋맵스리츠 차트보기</v>
      </c>
    </row>
    <row r="2383" spans="1:33" x14ac:dyDescent="0.3">
      <c r="A2383" t="s">
        <v>9559</v>
      </c>
      <c r="B2383" t="s">
        <v>34</v>
      </c>
      <c r="C2383" t="s">
        <v>9560</v>
      </c>
      <c r="D2383">
        <v>1244067.52</v>
      </c>
      <c r="E2383" t="s">
        <v>9561</v>
      </c>
      <c r="F2383">
        <v>20.93</v>
      </c>
      <c r="G2383">
        <v>3.5199999809265141</v>
      </c>
      <c r="H2383">
        <v>7966</v>
      </c>
      <c r="I2383">
        <v>0</v>
      </c>
      <c r="J2383" t="s">
        <v>9562</v>
      </c>
      <c r="K2383">
        <v>120200</v>
      </c>
      <c r="L2383">
        <v>166700</v>
      </c>
      <c r="M2383">
        <v>38.69</v>
      </c>
      <c r="N2383">
        <v>72.75</v>
      </c>
      <c r="O2383">
        <v>15.89</v>
      </c>
      <c r="P2383">
        <v>-7.68</v>
      </c>
      <c r="Q2383">
        <v>-16.559999999999999</v>
      </c>
      <c r="R2383">
        <v>-29.27</v>
      </c>
      <c r="S2383">
        <v>27.8</v>
      </c>
      <c r="T2383">
        <v>11.95</v>
      </c>
      <c r="U2383">
        <v>7.77</v>
      </c>
      <c r="V2383">
        <v>4.16</v>
      </c>
      <c r="W2383">
        <v>5.18</v>
      </c>
      <c r="X2383">
        <v>3.06</v>
      </c>
      <c r="Y2383">
        <v>5.9</v>
      </c>
      <c r="Z2383">
        <v>6.09</v>
      </c>
      <c r="AA2383">
        <v>2.0499999999999998</v>
      </c>
      <c r="AB2383">
        <v>1.85</v>
      </c>
      <c r="AC2383">
        <v>3.2</v>
      </c>
      <c r="AD2383">
        <v>9.57</v>
      </c>
      <c r="AE2383">
        <v>4.71</v>
      </c>
      <c r="AF2383">
        <v>4.578333333333334</v>
      </c>
      <c r="AG2383" t="str">
        <f>HYPERLINK("https://finance.naver.com/item/fchart.naver?code=017860", "DS단석 차트보기")</f>
        <v>DS단석 차트보기</v>
      </c>
    </row>
    <row r="2384" spans="1:33" x14ac:dyDescent="0.3">
      <c r="A2384" t="s">
        <v>9563</v>
      </c>
      <c r="B2384" t="s">
        <v>34</v>
      </c>
      <c r="C2384" t="s">
        <v>9564</v>
      </c>
      <c r="D2384">
        <v>130592.9</v>
      </c>
      <c r="E2384" t="s">
        <v>9565</v>
      </c>
      <c r="F2384">
        <v>17.09</v>
      </c>
      <c r="G2384">
        <v>2.410000085830688</v>
      </c>
      <c r="H2384">
        <v>2270</v>
      </c>
      <c r="I2384">
        <v>0.51999998092651367</v>
      </c>
      <c r="J2384" t="s">
        <v>9566</v>
      </c>
      <c r="K2384">
        <v>58300</v>
      </c>
      <c r="L2384">
        <v>38800</v>
      </c>
      <c r="M2384">
        <v>-33.450000000000003</v>
      </c>
      <c r="N2384">
        <v>-11.01</v>
      </c>
      <c r="O2384">
        <v>-5.01</v>
      </c>
      <c r="P2384">
        <v>1.59</v>
      </c>
      <c r="Q2384">
        <v>-5.85</v>
      </c>
      <c r="R2384">
        <v>-7.06</v>
      </c>
      <c r="S2384">
        <v>-5.8</v>
      </c>
      <c r="T2384">
        <v>2.12</v>
      </c>
      <c r="U2384">
        <v>1.34</v>
      </c>
      <c r="V2384">
        <v>1.76</v>
      </c>
      <c r="W2384">
        <v>2.06</v>
      </c>
      <c r="X2384">
        <v>1.45</v>
      </c>
      <c r="Y2384">
        <v>0.57999999999999996</v>
      </c>
      <c r="Z2384">
        <v>5.19</v>
      </c>
      <c r="AA2384">
        <v>3.74</v>
      </c>
      <c r="AB2384">
        <v>0.9</v>
      </c>
      <c r="AC2384">
        <v>2.84</v>
      </c>
      <c r="AD2384">
        <v>4.87</v>
      </c>
      <c r="AE2384">
        <v>10</v>
      </c>
      <c r="AF2384">
        <v>4.59</v>
      </c>
      <c r="AG2384" t="str">
        <f>HYPERLINK("https://finance.naver.com/item/fchart.naver?code=008770", "호텔신라 차트보기")</f>
        <v>호텔신라 차트보기</v>
      </c>
    </row>
    <row r="2385" spans="1:33" x14ac:dyDescent="0.3">
      <c r="A2385" t="s">
        <v>9567</v>
      </c>
      <c r="B2385" t="s">
        <v>34</v>
      </c>
      <c r="C2385" t="s">
        <v>9568</v>
      </c>
      <c r="D2385">
        <v>49563.33</v>
      </c>
      <c r="E2385" t="s">
        <v>9569</v>
      </c>
      <c r="F2385">
        <v>0</v>
      </c>
      <c r="G2385">
        <v>1.7699999809265139</v>
      </c>
      <c r="H2385">
        <v>0</v>
      </c>
      <c r="I2385">
        <v>0</v>
      </c>
      <c r="J2385" t="s">
        <v>9570</v>
      </c>
      <c r="K2385">
        <v>1070</v>
      </c>
      <c r="L2385">
        <v>880</v>
      </c>
      <c r="M2385">
        <v>-17.760000000000002</v>
      </c>
      <c r="N2385">
        <v>-2.87</v>
      </c>
      <c r="O2385">
        <v>-10.37</v>
      </c>
      <c r="P2385">
        <v>-2.02</v>
      </c>
      <c r="Q2385">
        <v>-7.16</v>
      </c>
      <c r="R2385">
        <v>-1.67</v>
      </c>
      <c r="S2385">
        <v>-12.03</v>
      </c>
      <c r="T2385">
        <v>0.55000000000000004</v>
      </c>
      <c r="U2385">
        <v>0.86</v>
      </c>
      <c r="V2385">
        <v>0.98</v>
      </c>
      <c r="W2385">
        <v>2.2599999999999998</v>
      </c>
      <c r="X2385">
        <v>1.61</v>
      </c>
      <c r="Y2385">
        <v>3.01</v>
      </c>
      <c r="Z2385">
        <v>5.22</v>
      </c>
      <c r="AA2385">
        <v>12.06</v>
      </c>
      <c r="AB2385">
        <v>2.06</v>
      </c>
      <c r="AC2385">
        <v>3.17</v>
      </c>
      <c r="AD2385">
        <v>1.04</v>
      </c>
      <c r="AE2385">
        <v>4</v>
      </c>
      <c r="AF2385">
        <v>4.5916666666666659</v>
      </c>
      <c r="AG2385" t="str">
        <f>HYPERLINK("https://finance.naver.com/item/fchart.naver?code=020760", "일진디스플 차트보기")</f>
        <v>일진디스플 차트보기</v>
      </c>
    </row>
    <row r="2386" spans="1:33" x14ac:dyDescent="0.3">
      <c r="A2386" t="s">
        <v>9571</v>
      </c>
      <c r="B2386" t="s">
        <v>34</v>
      </c>
      <c r="C2386" t="s">
        <v>9572</v>
      </c>
      <c r="D2386">
        <v>2256464.4300000002</v>
      </c>
      <c r="E2386" t="s">
        <v>9573</v>
      </c>
      <c r="F2386">
        <v>0</v>
      </c>
      <c r="G2386">
        <v>0.60000002384185791</v>
      </c>
      <c r="H2386">
        <v>0</v>
      </c>
      <c r="I2386">
        <v>0</v>
      </c>
      <c r="J2386" t="s">
        <v>9574</v>
      </c>
      <c r="K2386">
        <v>1653</v>
      </c>
      <c r="L2386">
        <v>1104</v>
      </c>
      <c r="M2386">
        <v>-33.21</v>
      </c>
      <c r="N2386">
        <v>-11.33</v>
      </c>
      <c r="O2386">
        <v>26.33</v>
      </c>
      <c r="P2386">
        <v>2.38</v>
      </c>
      <c r="Q2386">
        <v>-35.840000000000003</v>
      </c>
      <c r="R2386">
        <v>-13.71</v>
      </c>
      <c r="S2386">
        <v>11.88</v>
      </c>
      <c r="T2386">
        <v>1.76</v>
      </c>
      <c r="U2386">
        <v>8.39</v>
      </c>
      <c r="V2386">
        <v>2.34</v>
      </c>
      <c r="W2386">
        <v>5.45</v>
      </c>
      <c r="X2386">
        <v>1.61</v>
      </c>
      <c r="Y2386">
        <v>6.35</v>
      </c>
      <c r="Z2386">
        <v>6.44</v>
      </c>
      <c r="AA2386">
        <v>3.14</v>
      </c>
      <c r="AB2386">
        <v>1.02</v>
      </c>
      <c r="AC2386">
        <v>6.58</v>
      </c>
      <c r="AD2386">
        <v>8.52</v>
      </c>
      <c r="AE2386">
        <v>1.87</v>
      </c>
      <c r="AF2386">
        <v>4.5949999999999998</v>
      </c>
      <c r="AG2386" t="str">
        <f>HYPERLINK("https://finance.naver.com/item/fchart.naver?code=025560", "미래산업 차트보기")</f>
        <v>미래산업 차트보기</v>
      </c>
    </row>
    <row r="2387" spans="1:33" x14ac:dyDescent="0.3">
      <c r="A2387" t="s">
        <v>9575</v>
      </c>
      <c r="B2387" t="s">
        <v>55</v>
      </c>
      <c r="C2387" t="s">
        <v>9576</v>
      </c>
      <c r="D2387">
        <v>304350.67</v>
      </c>
      <c r="E2387" t="s">
        <v>9577</v>
      </c>
      <c r="F2387">
        <v>0</v>
      </c>
      <c r="G2387">
        <v>8.1599998474121094</v>
      </c>
      <c r="H2387">
        <v>0</v>
      </c>
      <c r="I2387">
        <v>0</v>
      </c>
      <c r="J2387" t="s">
        <v>9578</v>
      </c>
      <c r="K2387">
        <v>3490</v>
      </c>
      <c r="L2387">
        <v>3295</v>
      </c>
      <c r="M2387">
        <v>-5.59</v>
      </c>
      <c r="N2387">
        <v>-13.86</v>
      </c>
      <c r="O2387">
        <v>35.44</v>
      </c>
      <c r="P2387">
        <v>25.34</v>
      </c>
      <c r="Q2387">
        <v>-8.33</v>
      </c>
      <c r="R2387">
        <v>-14.44</v>
      </c>
      <c r="S2387">
        <v>-9.18</v>
      </c>
      <c r="T2387">
        <v>6.65</v>
      </c>
      <c r="U2387">
        <v>5.19</v>
      </c>
      <c r="V2387">
        <v>6.09</v>
      </c>
      <c r="W2387">
        <v>4.66</v>
      </c>
      <c r="X2387">
        <v>1.57</v>
      </c>
      <c r="Y2387">
        <v>2.61</v>
      </c>
      <c r="Z2387">
        <v>2.08</v>
      </c>
      <c r="AA2387">
        <v>6.83</v>
      </c>
      <c r="AB2387">
        <v>4.16</v>
      </c>
      <c r="AC2387">
        <v>1.79</v>
      </c>
      <c r="AD2387">
        <v>9.1999999999999993</v>
      </c>
      <c r="AE2387">
        <v>3.52</v>
      </c>
      <c r="AF2387">
        <v>4.5966666666666667</v>
      </c>
      <c r="AG2387" t="str">
        <f>HYPERLINK("https://finance.naver.com/item/fchart.naver?code=115610", "이미지스 차트보기")</f>
        <v>이미지스 차트보기</v>
      </c>
    </row>
    <row r="2388" spans="1:33" x14ac:dyDescent="0.3">
      <c r="A2388" t="s">
        <v>9579</v>
      </c>
      <c r="B2388" t="s">
        <v>55</v>
      </c>
      <c r="C2388" t="s">
        <v>9580</v>
      </c>
      <c r="D2388">
        <v>2491103.19</v>
      </c>
      <c r="E2388" t="s">
        <v>9581</v>
      </c>
      <c r="F2388">
        <v>0</v>
      </c>
      <c r="G2388">
        <v>2.940000057220459</v>
      </c>
      <c r="H2388">
        <v>0</v>
      </c>
      <c r="I2388">
        <v>0</v>
      </c>
      <c r="J2388" t="s">
        <v>9582</v>
      </c>
      <c r="K2388">
        <v>1382</v>
      </c>
      <c r="L2388">
        <v>1227</v>
      </c>
      <c r="M2388">
        <v>-11.22</v>
      </c>
      <c r="N2388">
        <v>-0.49</v>
      </c>
      <c r="O2388">
        <v>-29.73</v>
      </c>
      <c r="P2388">
        <v>-42.92</v>
      </c>
      <c r="Q2388">
        <v>-40.880000000000003</v>
      </c>
      <c r="R2388">
        <v>51.54</v>
      </c>
      <c r="S2388">
        <v>30.31</v>
      </c>
      <c r="T2388">
        <v>11.38</v>
      </c>
      <c r="U2388">
        <v>8.76</v>
      </c>
      <c r="V2388">
        <v>9.58</v>
      </c>
      <c r="W2388">
        <v>9.6300000000000008</v>
      </c>
      <c r="X2388">
        <v>4.76</v>
      </c>
      <c r="Y2388">
        <v>6.49</v>
      </c>
      <c r="Z2388">
        <v>0.04</v>
      </c>
      <c r="AA2388">
        <v>3.39</v>
      </c>
      <c r="AB2388">
        <v>4.4800000000000004</v>
      </c>
      <c r="AC2388">
        <v>4.25</v>
      </c>
      <c r="AD2388">
        <v>10.83</v>
      </c>
      <c r="AE2388">
        <v>4.67</v>
      </c>
      <c r="AF2388">
        <v>4.6100000000000003</v>
      </c>
      <c r="AG2388" t="str">
        <f>HYPERLINK("https://finance.naver.com/item/fchart.naver?code=307870", "비투엔 차트보기")</f>
        <v>비투엔 차트보기</v>
      </c>
    </row>
    <row r="2389" spans="1:33" x14ac:dyDescent="0.3">
      <c r="A2389" t="s">
        <v>9583</v>
      </c>
      <c r="B2389" t="s">
        <v>55</v>
      </c>
      <c r="C2389" t="s">
        <v>9584</v>
      </c>
      <c r="D2389">
        <v>46659.81</v>
      </c>
      <c r="E2389" t="s">
        <v>9585</v>
      </c>
      <c r="F2389">
        <v>0</v>
      </c>
      <c r="G2389">
        <v>2.0199999809265141</v>
      </c>
      <c r="H2389">
        <v>0</v>
      </c>
      <c r="I2389">
        <v>0</v>
      </c>
      <c r="J2389" t="s">
        <v>9586</v>
      </c>
      <c r="K2389">
        <v>1858</v>
      </c>
      <c r="L2389">
        <v>1299</v>
      </c>
      <c r="M2389">
        <v>-30.09</v>
      </c>
      <c r="N2389">
        <v>-2.7</v>
      </c>
      <c r="O2389">
        <v>-3.37</v>
      </c>
      <c r="P2389">
        <v>-10.6</v>
      </c>
      <c r="Q2389">
        <v>-7.43</v>
      </c>
      <c r="R2389">
        <v>-4.2300000000000004</v>
      </c>
      <c r="S2389">
        <v>-7.25</v>
      </c>
      <c r="T2389">
        <v>1.44</v>
      </c>
      <c r="U2389">
        <v>0.77</v>
      </c>
      <c r="V2389">
        <v>1.1100000000000001</v>
      </c>
      <c r="W2389">
        <v>3.28</v>
      </c>
      <c r="X2389">
        <v>0.91</v>
      </c>
      <c r="Y2389">
        <v>1.47</v>
      </c>
      <c r="Z2389">
        <v>1.88</v>
      </c>
      <c r="AA2389">
        <v>4.38</v>
      </c>
      <c r="AB2389">
        <v>9.5500000000000007</v>
      </c>
      <c r="AC2389">
        <v>2.27</v>
      </c>
      <c r="AD2389">
        <v>4.6500000000000004</v>
      </c>
      <c r="AE2389">
        <v>4.93</v>
      </c>
      <c r="AF2389">
        <v>4.6100000000000003</v>
      </c>
      <c r="AG2389" t="str">
        <f>HYPERLINK("https://finance.naver.com/item/fchart.naver?code=083470", "이엠앤아이 차트보기")</f>
        <v>이엠앤아이 차트보기</v>
      </c>
    </row>
    <row r="2390" spans="1:33" x14ac:dyDescent="0.3">
      <c r="A2390" t="s">
        <v>9587</v>
      </c>
      <c r="B2390" t="s">
        <v>55</v>
      </c>
      <c r="C2390" t="s">
        <v>9588</v>
      </c>
      <c r="D2390">
        <v>59372.81</v>
      </c>
      <c r="E2390" t="s">
        <v>9589</v>
      </c>
      <c r="F2390">
        <v>0</v>
      </c>
      <c r="G2390">
        <v>0.12999999523162839</v>
      </c>
      <c r="H2390">
        <v>0</v>
      </c>
      <c r="I2390">
        <v>0</v>
      </c>
      <c r="J2390" t="s">
        <v>9590</v>
      </c>
      <c r="K2390">
        <v>1672</v>
      </c>
      <c r="L2390">
        <v>1316</v>
      </c>
      <c r="M2390">
        <v>-21.29</v>
      </c>
      <c r="N2390">
        <v>-4.78</v>
      </c>
      <c r="O2390">
        <v>-2.1800000000000002</v>
      </c>
      <c r="P2390">
        <v>2.19</v>
      </c>
      <c r="Q2390">
        <v>-8.5500000000000007</v>
      </c>
      <c r="R2390">
        <v>-17.63</v>
      </c>
      <c r="S2390">
        <v>4.76</v>
      </c>
      <c r="T2390">
        <v>1.18</v>
      </c>
      <c r="U2390">
        <v>1.3</v>
      </c>
      <c r="V2390">
        <v>1.82</v>
      </c>
      <c r="W2390">
        <v>3.39</v>
      </c>
      <c r="X2390">
        <v>1.05</v>
      </c>
      <c r="Y2390">
        <v>3.32</v>
      </c>
      <c r="Z2390">
        <v>4.05</v>
      </c>
      <c r="AA2390">
        <v>1.68</v>
      </c>
      <c r="AB2390">
        <v>1.2</v>
      </c>
      <c r="AC2390">
        <v>2.52</v>
      </c>
      <c r="AD2390">
        <v>16.79</v>
      </c>
      <c r="AE2390">
        <v>1.43</v>
      </c>
      <c r="AF2390">
        <v>4.6116666666666664</v>
      </c>
      <c r="AG2390" t="str">
        <f>HYPERLINK("https://finance.naver.com/item/fchart.naver?code=104480", "티케이케미칼 차트보기")</f>
        <v>티케이케미칼 차트보기</v>
      </c>
    </row>
    <row r="2391" spans="1:33" x14ac:dyDescent="0.3">
      <c r="A2391" t="s">
        <v>9591</v>
      </c>
      <c r="B2391" t="s">
        <v>55</v>
      </c>
      <c r="C2391" t="s">
        <v>9592</v>
      </c>
      <c r="D2391">
        <v>563233.94999999995</v>
      </c>
      <c r="E2391" t="s">
        <v>9593</v>
      </c>
      <c r="F2391">
        <v>225.76</v>
      </c>
      <c r="G2391">
        <v>2.5</v>
      </c>
      <c r="H2391">
        <v>33</v>
      </c>
      <c r="I2391">
        <v>0</v>
      </c>
      <c r="J2391" t="s">
        <v>9594</v>
      </c>
      <c r="K2391">
        <v>11180</v>
      </c>
      <c r="L2391">
        <v>7450</v>
      </c>
      <c r="M2391">
        <v>-33.36</v>
      </c>
      <c r="N2391">
        <v>7.04</v>
      </c>
      <c r="O2391">
        <v>-26.51</v>
      </c>
      <c r="P2391">
        <v>2.37</v>
      </c>
      <c r="Q2391">
        <v>29.84</v>
      </c>
      <c r="R2391">
        <v>-15.9</v>
      </c>
      <c r="S2391">
        <v>-15.22</v>
      </c>
      <c r="T2391">
        <v>6.21</v>
      </c>
      <c r="U2391">
        <v>3.19</v>
      </c>
      <c r="V2391">
        <v>6.87</v>
      </c>
      <c r="W2391">
        <v>8.73</v>
      </c>
      <c r="X2391">
        <v>2.0699999999999998</v>
      </c>
      <c r="Y2391">
        <v>2.2400000000000002</v>
      </c>
      <c r="Z2391">
        <v>1.1299999999999999</v>
      </c>
      <c r="AA2391">
        <v>8.31</v>
      </c>
      <c r="AB2391">
        <v>0.34</v>
      </c>
      <c r="AC2391">
        <v>3.42</v>
      </c>
      <c r="AD2391">
        <v>7.68</v>
      </c>
      <c r="AE2391">
        <v>6.79</v>
      </c>
      <c r="AF2391">
        <v>4.6116666666666672</v>
      </c>
      <c r="AG2391" t="str">
        <f>HYPERLINK("https://finance.naver.com/item/fchart.naver?code=411080", "샌즈랩 차트보기")</f>
        <v>샌즈랩 차트보기</v>
      </c>
    </row>
    <row r="2392" spans="1:33" x14ac:dyDescent="0.3">
      <c r="A2392" t="s">
        <v>9595</v>
      </c>
      <c r="B2392" t="s">
        <v>34</v>
      </c>
      <c r="C2392" t="s">
        <v>9596</v>
      </c>
      <c r="D2392">
        <v>720539.48</v>
      </c>
      <c r="E2392" t="s">
        <v>9597</v>
      </c>
      <c r="F2392">
        <v>15.8</v>
      </c>
      <c r="G2392">
        <v>1.059999942779541</v>
      </c>
      <c r="H2392">
        <v>80</v>
      </c>
      <c r="I2392">
        <v>0</v>
      </c>
      <c r="J2392" t="s">
        <v>9598</v>
      </c>
      <c r="K2392">
        <v>2265</v>
      </c>
      <c r="L2392">
        <v>1264</v>
      </c>
      <c r="M2392">
        <v>-44.19</v>
      </c>
      <c r="N2392">
        <v>-11.92</v>
      </c>
      <c r="O2392">
        <v>-12.33</v>
      </c>
      <c r="P2392">
        <v>-1.63</v>
      </c>
      <c r="Q2392">
        <v>-10.66</v>
      </c>
      <c r="R2392">
        <v>-7.86</v>
      </c>
      <c r="S2392">
        <v>-6.85</v>
      </c>
      <c r="T2392">
        <v>3.31</v>
      </c>
      <c r="U2392">
        <v>1.33</v>
      </c>
      <c r="V2392">
        <v>2.12</v>
      </c>
      <c r="W2392">
        <v>3.77</v>
      </c>
      <c r="X2392">
        <v>1.44</v>
      </c>
      <c r="Y2392">
        <v>1.19</v>
      </c>
      <c r="Z2392">
        <v>3.6</v>
      </c>
      <c r="AA2392">
        <v>9.27</v>
      </c>
      <c r="AB2392">
        <v>0.77</v>
      </c>
      <c r="AC2392">
        <v>2.83</v>
      </c>
      <c r="AD2392">
        <v>5.46</v>
      </c>
      <c r="AE2392">
        <v>5.76</v>
      </c>
      <c r="AF2392">
        <v>4.6149999999999993</v>
      </c>
      <c r="AG2392" t="str">
        <f>HYPERLINK("https://finance.naver.com/item/fchart.naver?code=011930", "신성이엔지 차트보기")</f>
        <v>신성이엔지 차트보기</v>
      </c>
    </row>
    <row r="2393" spans="1:33" x14ac:dyDescent="0.3">
      <c r="A2393" t="s">
        <v>9599</v>
      </c>
      <c r="B2393" t="s">
        <v>55</v>
      </c>
      <c r="C2393" t="s">
        <v>9600</v>
      </c>
      <c r="D2393">
        <v>23616.14</v>
      </c>
      <c r="E2393" t="s">
        <v>9601</v>
      </c>
      <c r="F2393">
        <v>0</v>
      </c>
      <c r="G2393">
        <v>0</v>
      </c>
      <c r="H2393">
        <v>0</v>
      </c>
      <c r="I2393">
        <v>0</v>
      </c>
      <c r="J2393" t="s">
        <v>9602</v>
      </c>
      <c r="K2393">
        <v>9700</v>
      </c>
      <c r="L2393">
        <v>10060</v>
      </c>
      <c r="M2393">
        <v>3.71</v>
      </c>
      <c r="N2393">
        <v>0.4</v>
      </c>
      <c r="O2393">
        <v>1.01</v>
      </c>
      <c r="P2393">
        <v>-0.3</v>
      </c>
      <c r="Q2393">
        <v>0.1</v>
      </c>
      <c r="R2393">
        <v>2.4900000000000002</v>
      </c>
      <c r="S2393">
        <v>-0.31</v>
      </c>
      <c r="T2393">
        <v>0.13</v>
      </c>
      <c r="U2393">
        <v>0.15</v>
      </c>
      <c r="V2393">
        <v>0.16</v>
      </c>
      <c r="W2393">
        <v>0.28000000000000003</v>
      </c>
      <c r="X2393">
        <v>0.18</v>
      </c>
      <c r="Y2393">
        <v>0.17</v>
      </c>
      <c r="Z2393">
        <v>3.08</v>
      </c>
      <c r="AA2393">
        <v>6.73</v>
      </c>
      <c r="AB2393">
        <v>1.88</v>
      </c>
      <c r="AC2393">
        <v>0.36</v>
      </c>
      <c r="AD2393">
        <v>13.83</v>
      </c>
      <c r="AE2393">
        <v>1.82</v>
      </c>
      <c r="AF2393">
        <v>4.6166666666666671</v>
      </c>
      <c r="AG2393" t="str">
        <f>HYPERLINK("https://finance.naver.com/item/fchart.naver?code=442900", "미래에셋드림스팩1호 차트보기")</f>
        <v>미래에셋드림스팩1호 차트보기</v>
      </c>
    </row>
    <row r="2394" spans="1:33" x14ac:dyDescent="0.3">
      <c r="A2394" t="s">
        <v>9603</v>
      </c>
      <c r="B2394" t="s">
        <v>55</v>
      </c>
      <c r="C2394" t="s">
        <v>9604</v>
      </c>
      <c r="D2394">
        <v>57435.14</v>
      </c>
      <c r="E2394" t="s">
        <v>9605</v>
      </c>
      <c r="F2394">
        <v>3.83</v>
      </c>
      <c r="G2394">
        <v>0.47999998927116388</v>
      </c>
      <c r="H2394">
        <v>1337</v>
      </c>
      <c r="I2394">
        <v>3.910000085830688</v>
      </c>
      <c r="J2394" t="s">
        <v>9606</v>
      </c>
      <c r="K2394">
        <v>11660</v>
      </c>
      <c r="L2394">
        <v>5120</v>
      </c>
      <c r="M2394">
        <v>-56.09</v>
      </c>
      <c r="N2394">
        <v>-11.72</v>
      </c>
      <c r="O2394">
        <v>-10.31</v>
      </c>
      <c r="P2394">
        <v>-5.87</v>
      </c>
      <c r="Q2394">
        <v>-19.239999999999998</v>
      </c>
      <c r="R2394">
        <v>-15.84</v>
      </c>
      <c r="S2394">
        <v>-5.26</v>
      </c>
      <c r="T2394">
        <v>4.05</v>
      </c>
      <c r="U2394">
        <v>2.06</v>
      </c>
      <c r="V2394">
        <v>3.12</v>
      </c>
      <c r="W2394">
        <v>4.49</v>
      </c>
      <c r="X2394">
        <v>1.65</v>
      </c>
      <c r="Y2394">
        <v>1.3</v>
      </c>
      <c r="Z2394">
        <v>2.89</v>
      </c>
      <c r="AA2394">
        <v>5</v>
      </c>
      <c r="AB2394">
        <v>1.88</v>
      </c>
      <c r="AC2394">
        <v>4.29</v>
      </c>
      <c r="AD2394">
        <v>9.6</v>
      </c>
      <c r="AE2394">
        <v>4.05</v>
      </c>
      <c r="AF2394">
        <v>4.6183333333333332</v>
      </c>
      <c r="AG2394" t="str">
        <f>HYPERLINK("https://finance.naver.com/item/fchart.naver?code=241790", "티이엠씨씨엔에스 차트보기")</f>
        <v>티이엠씨씨엔에스 차트보기</v>
      </c>
    </row>
    <row r="2395" spans="1:33" x14ac:dyDescent="0.3">
      <c r="A2395" t="s">
        <v>9607</v>
      </c>
      <c r="B2395" t="s">
        <v>34</v>
      </c>
      <c r="C2395" t="s">
        <v>9608</v>
      </c>
      <c r="D2395">
        <v>21546.67</v>
      </c>
      <c r="E2395" t="s">
        <v>9609</v>
      </c>
      <c r="F2395">
        <v>0</v>
      </c>
      <c r="G2395">
        <v>0</v>
      </c>
      <c r="H2395">
        <v>0</v>
      </c>
      <c r="I2395">
        <v>8.1999998092651367</v>
      </c>
      <c r="J2395" t="s">
        <v>9610</v>
      </c>
      <c r="K2395">
        <v>14300</v>
      </c>
      <c r="L2395">
        <v>14630</v>
      </c>
      <c r="M2395">
        <v>2.31</v>
      </c>
      <c r="N2395">
        <v>-2.4700000000000002</v>
      </c>
      <c r="O2395">
        <v>1.56</v>
      </c>
      <c r="P2395">
        <v>-1.53</v>
      </c>
      <c r="Q2395">
        <v>1.35</v>
      </c>
      <c r="R2395">
        <v>4.3899999999999997</v>
      </c>
      <c r="S2395">
        <v>1.28</v>
      </c>
      <c r="T2395">
        <v>0.9</v>
      </c>
      <c r="U2395">
        <v>0.19</v>
      </c>
      <c r="V2395">
        <v>0.59</v>
      </c>
      <c r="W2395">
        <v>1.06</v>
      </c>
      <c r="X2395">
        <v>0.48</v>
      </c>
      <c r="Y2395">
        <v>0.34</v>
      </c>
      <c r="Z2395">
        <v>2.74</v>
      </c>
      <c r="AA2395">
        <v>8.2100000000000009</v>
      </c>
      <c r="AB2395">
        <v>2.59</v>
      </c>
      <c r="AC2395">
        <v>1.27</v>
      </c>
      <c r="AD2395">
        <v>9.15</v>
      </c>
      <c r="AE2395">
        <v>3.76</v>
      </c>
      <c r="AF2395">
        <v>4.62</v>
      </c>
      <c r="AG2395" t="str">
        <f>HYPERLINK("https://finance.naver.com/item/fchart.naver?code=003547", "대신증권2우B 차트보기")</f>
        <v>대신증권2우B 차트보기</v>
      </c>
    </row>
    <row r="2396" spans="1:33" x14ac:dyDescent="0.3">
      <c r="A2396" t="s">
        <v>9611</v>
      </c>
      <c r="B2396" t="s">
        <v>55</v>
      </c>
      <c r="C2396" t="s">
        <v>9612</v>
      </c>
      <c r="D2396">
        <v>79348.62</v>
      </c>
      <c r="E2396" t="s">
        <v>9613</v>
      </c>
      <c r="F2396">
        <v>35.65</v>
      </c>
      <c r="G2396">
        <v>0.69999998807907104</v>
      </c>
      <c r="H2396">
        <v>154</v>
      </c>
      <c r="I2396">
        <v>0</v>
      </c>
      <c r="J2396" t="s">
        <v>9614</v>
      </c>
      <c r="K2396">
        <v>7600</v>
      </c>
      <c r="L2396">
        <v>5490</v>
      </c>
      <c r="M2396">
        <v>-27.76</v>
      </c>
      <c r="N2396">
        <v>39.520000000000003</v>
      </c>
      <c r="O2396">
        <v>-11.01</v>
      </c>
      <c r="P2396">
        <v>-12.04</v>
      </c>
      <c r="Q2396">
        <v>-22.43</v>
      </c>
      <c r="R2396">
        <v>-11.19</v>
      </c>
      <c r="S2396">
        <v>-13.79</v>
      </c>
      <c r="T2396">
        <v>11.06</v>
      </c>
      <c r="U2396">
        <v>2.57</v>
      </c>
      <c r="V2396">
        <v>3.11</v>
      </c>
      <c r="W2396">
        <v>3.3</v>
      </c>
      <c r="X2396">
        <v>1.81</v>
      </c>
      <c r="Y2396">
        <v>4.5599999999999996</v>
      </c>
      <c r="Z2396">
        <v>3.57</v>
      </c>
      <c r="AA2396">
        <v>4.28</v>
      </c>
      <c r="AB2396">
        <v>3.87</v>
      </c>
      <c r="AC2396">
        <v>6.8</v>
      </c>
      <c r="AD2396">
        <v>6.18</v>
      </c>
      <c r="AE2396">
        <v>3.02</v>
      </c>
      <c r="AF2396">
        <v>4.62</v>
      </c>
      <c r="AG2396" t="str">
        <f>HYPERLINK("https://finance.naver.com/item/fchart.naver?code=105330", "케이엔더블유 차트보기")</f>
        <v>케이엔더블유 차트보기</v>
      </c>
    </row>
    <row r="2397" spans="1:33" x14ac:dyDescent="0.3">
      <c r="A2397" t="s">
        <v>9615</v>
      </c>
      <c r="B2397" t="s">
        <v>55</v>
      </c>
      <c r="C2397" t="s">
        <v>9616</v>
      </c>
      <c r="D2397">
        <v>418478.57</v>
      </c>
      <c r="E2397" t="s">
        <v>9617</v>
      </c>
      <c r="F2397">
        <v>0</v>
      </c>
      <c r="G2397">
        <v>4.5100002288818359</v>
      </c>
      <c r="H2397">
        <v>0</v>
      </c>
      <c r="I2397">
        <v>0</v>
      </c>
      <c r="J2397" t="s">
        <v>9618</v>
      </c>
      <c r="K2397">
        <v>27995</v>
      </c>
      <c r="L2397">
        <v>32150</v>
      </c>
      <c r="M2397">
        <v>14.84</v>
      </c>
      <c r="N2397">
        <v>-17.670000000000002</v>
      </c>
      <c r="O2397">
        <v>-16.32</v>
      </c>
      <c r="P2397">
        <v>31.2</v>
      </c>
      <c r="Q2397">
        <v>-8.9600000000000009</v>
      </c>
      <c r="R2397">
        <v>-22.96</v>
      </c>
      <c r="S2397">
        <v>43.36</v>
      </c>
      <c r="T2397">
        <v>5.74</v>
      </c>
      <c r="U2397">
        <v>3.75</v>
      </c>
      <c r="V2397">
        <v>4.5599999999999996</v>
      </c>
      <c r="W2397">
        <v>5.21</v>
      </c>
      <c r="X2397">
        <v>4.01</v>
      </c>
      <c r="Y2397">
        <v>7.17</v>
      </c>
      <c r="Z2397">
        <v>3.08</v>
      </c>
      <c r="AA2397">
        <v>4.3499999999999996</v>
      </c>
      <c r="AB2397">
        <v>6.84</v>
      </c>
      <c r="AC2397">
        <v>1.72</v>
      </c>
      <c r="AD2397">
        <v>5.73</v>
      </c>
      <c r="AE2397">
        <v>6.05</v>
      </c>
      <c r="AF2397">
        <v>4.628333333333333</v>
      </c>
      <c r="AG2397" t="str">
        <f>HYPERLINK("https://finance.naver.com/item/fchart.naver?code=101360", "에코앤드림 차트보기")</f>
        <v>에코앤드림 차트보기</v>
      </c>
    </row>
    <row r="2398" spans="1:33" x14ac:dyDescent="0.3">
      <c r="A2398" t="s">
        <v>9619</v>
      </c>
      <c r="B2398" t="s">
        <v>55</v>
      </c>
      <c r="C2398" t="s">
        <v>9620</v>
      </c>
      <c r="D2398">
        <v>915816.43</v>
      </c>
      <c r="E2398" t="s">
        <v>9621</v>
      </c>
      <c r="F2398">
        <v>79.91</v>
      </c>
      <c r="G2398">
        <v>1.279999971389771</v>
      </c>
      <c r="H2398">
        <v>23</v>
      </c>
      <c r="I2398">
        <v>0.54000002145767212</v>
      </c>
      <c r="J2398" t="s">
        <v>9622</v>
      </c>
      <c r="K2398">
        <v>1197</v>
      </c>
      <c r="L2398">
        <v>1838</v>
      </c>
      <c r="M2398">
        <v>53.55</v>
      </c>
      <c r="N2398">
        <v>-10.34</v>
      </c>
      <c r="O2398">
        <v>16.940000000000001</v>
      </c>
      <c r="P2398">
        <v>9.34</v>
      </c>
      <c r="Q2398">
        <v>53.12</v>
      </c>
      <c r="R2398">
        <v>4.22</v>
      </c>
      <c r="S2398">
        <v>-7.53</v>
      </c>
      <c r="T2398">
        <v>4.9800000000000004</v>
      </c>
      <c r="U2398">
        <v>3.24</v>
      </c>
      <c r="V2398">
        <v>2.41</v>
      </c>
      <c r="W2398">
        <v>7.5</v>
      </c>
      <c r="X2398">
        <v>1.38</v>
      </c>
      <c r="Y2398">
        <v>1.17</v>
      </c>
      <c r="Z2398">
        <v>2.08</v>
      </c>
      <c r="AA2398">
        <v>5.23</v>
      </c>
      <c r="AB2398">
        <v>3.88</v>
      </c>
      <c r="AC2398">
        <v>7.08</v>
      </c>
      <c r="AD2398">
        <v>3.06</v>
      </c>
      <c r="AE2398">
        <v>6.44</v>
      </c>
      <c r="AF2398">
        <v>4.6283333333333339</v>
      </c>
      <c r="AG2398" t="str">
        <f>HYPERLINK("https://finance.naver.com/item/fchart.naver?code=006050", "국영지앤엠 차트보기")</f>
        <v>국영지앤엠 차트보기</v>
      </c>
    </row>
    <row r="2399" spans="1:33" x14ac:dyDescent="0.3">
      <c r="A2399" t="s">
        <v>9623</v>
      </c>
      <c r="B2399" t="s">
        <v>55</v>
      </c>
      <c r="C2399" t="s">
        <v>9624</v>
      </c>
      <c r="D2399">
        <v>1969634.29</v>
      </c>
      <c r="E2399" t="s">
        <v>9625</v>
      </c>
      <c r="F2399">
        <v>28.01</v>
      </c>
      <c r="G2399">
        <v>4.9499998092651367</v>
      </c>
      <c r="H2399">
        <v>830</v>
      </c>
      <c r="I2399">
        <v>1.419999957084656</v>
      </c>
      <c r="J2399" t="s">
        <v>9626</v>
      </c>
      <c r="K2399">
        <v>31300</v>
      </c>
      <c r="L2399">
        <v>23250</v>
      </c>
      <c r="M2399">
        <v>-25.72</v>
      </c>
      <c r="N2399">
        <v>14.81</v>
      </c>
      <c r="O2399">
        <v>23.88</v>
      </c>
      <c r="P2399">
        <v>-7.97</v>
      </c>
      <c r="Q2399">
        <v>-21.06</v>
      </c>
      <c r="R2399">
        <v>-41.43</v>
      </c>
      <c r="S2399">
        <v>-15.9</v>
      </c>
      <c r="T2399">
        <v>2.11</v>
      </c>
      <c r="U2399">
        <v>6.34</v>
      </c>
      <c r="V2399">
        <v>4.9000000000000004</v>
      </c>
      <c r="W2399">
        <v>5.42</v>
      </c>
      <c r="X2399">
        <v>5.5</v>
      </c>
      <c r="Y2399">
        <v>4.01</v>
      </c>
      <c r="Z2399">
        <v>7.02</v>
      </c>
      <c r="AA2399">
        <v>3.77</v>
      </c>
      <c r="AB2399">
        <v>1.63</v>
      </c>
      <c r="AC2399">
        <v>3.89</v>
      </c>
      <c r="AD2399">
        <v>7.53</v>
      </c>
      <c r="AE2399">
        <v>3.97</v>
      </c>
      <c r="AF2399">
        <v>4.6349999999999998</v>
      </c>
      <c r="AG2399" t="str">
        <f>HYPERLINK("https://finance.naver.com/item/fchart.naver?code=457550", "우진엔텍 차트보기")</f>
        <v>우진엔텍 차트보기</v>
      </c>
    </row>
    <row r="2400" spans="1:33" x14ac:dyDescent="0.3">
      <c r="A2400" t="s">
        <v>9627</v>
      </c>
      <c r="B2400" t="s">
        <v>34</v>
      </c>
      <c r="C2400" t="s">
        <v>9628</v>
      </c>
      <c r="D2400">
        <v>13406.48</v>
      </c>
      <c r="E2400" t="s">
        <v>9629</v>
      </c>
      <c r="F2400">
        <v>0</v>
      </c>
      <c r="G2400">
        <v>0.15999999642372131</v>
      </c>
      <c r="H2400">
        <v>0</v>
      </c>
      <c r="I2400">
        <v>7.6100001335144043</v>
      </c>
      <c r="J2400" t="s">
        <v>9630</v>
      </c>
      <c r="K2400">
        <v>5130</v>
      </c>
      <c r="L2400">
        <v>3940</v>
      </c>
      <c r="M2400">
        <v>-23.2</v>
      </c>
      <c r="N2400">
        <v>-2.48</v>
      </c>
      <c r="O2400">
        <v>-6.09</v>
      </c>
      <c r="P2400">
        <v>-6.28</v>
      </c>
      <c r="Q2400">
        <v>-6.15</v>
      </c>
      <c r="R2400">
        <v>3.23</v>
      </c>
      <c r="S2400">
        <v>-3.13</v>
      </c>
      <c r="T2400">
        <v>0.79</v>
      </c>
      <c r="U2400">
        <v>0.97</v>
      </c>
      <c r="V2400">
        <v>1.03</v>
      </c>
      <c r="W2400">
        <v>2.27</v>
      </c>
      <c r="X2400">
        <v>0.76</v>
      </c>
      <c r="Y2400">
        <v>0.57999999999999996</v>
      </c>
      <c r="Z2400">
        <v>3.14</v>
      </c>
      <c r="AA2400">
        <v>6.28</v>
      </c>
      <c r="AB2400">
        <v>6.1</v>
      </c>
      <c r="AC2400">
        <v>2.71</v>
      </c>
      <c r="AD2400">
        <v>4.25</v>
      </c>
      <c r="AE2400">
        <v>5.4</v>
      </c>
      <c r="AF2400">
        <v>4.6466666666666674</v>
      </c>
      <c r="AG2400" t="str">
        <f>HYPERLINK("https://finance.naver.com/item/fchart.naver?code=005960", "동부건설 차트보기")</f>
        <v>동부건설 차트보기</v>
      </c>
    </row>
    <row r="2401" spans="1:33" x14ac:dyDescent="0.3">
      <c r="A2401" t="s">
        <v>9631</v>
      </c>
      <c r="B2401" t="s">
        <v>55</v>
      </c>
      <c r="C2401" t="s">
        <v>9632</v>
      </c>
      <c r="D2401">
        <v>47121.33</v>
      </c>
      <c r="E2401" t="s">
        <v>9633</v>
      </c>
      <c r="F2401">
        <v>19.87</v>
      </c>
      <c r="G2401">
        <v>1.6000000238418579</v>
      </c>
      <c r="H2401">
        <v>116</v>
      </c>
      <c r="I2401">
        <v>0</v>
      </c>
      <c r="J2401" t="s">
        <v>9634</v>
      </c>
      <c r="K2401">
        <v>2925</v>
      </c>
      <c r="L2401">
        <v>2305</v>
      </c>
      <c r="M2401">
        <v>-21.2</v>
      </c>
      <c r="N2401">
        <v>5.49</v>
      </c>
      <c r="O2401">
        <v>-0.71</v>
      </c>
      <c r="P2401">
        <v>-12.32</v>
      </c>
      <c r="Q2401">
        <v>-8.92</v>
      </c>
      <c r="R2401">
        <v>34.58</v>
      </c>
      <c r="S2401">
        <v>-25.65</v>
      </c>
      <c r="T2401">
        <v>2.52</v>
      </c>
      <c r="U2401">
        <v>1.74</v>
      </c>
      <c r="V2401">
        <v>2.4700000000000002</v>
      </c>
      <c r="W2401">
        <v>4.6100000000000003</v>
      </c>
      <c r="X2401">
        <v>3.03</v>
      </c>
      <c r="Y2401">
        <v>3.67</v>
      </c>
      <c r="Z2401">
        <v>2.1800000000000002</v>
      </c>
      <c r="AA2401">
        <v>0.41</v>
      </c>
      <c r="AB2401">
        <v>4.99</v>
      </c>
      <c r="AC2401">
        <v>1.93</v>
      </c>
      <c r="AD2401">
        <v>11.41</v>
      </c>
      <c r="AE2401">
        <v>6.99</v>
      </c>
      <c r="AF2401">
        <v>4.6516666666666673</v>
      </c>
      <c r="AG2401" t="str">
        <f>HYPERLINK("https://finance.naver.com/item/fchart.naver?code=309930", "오하임앤컴퍼니 차트보기")</f>
        <v>오하임앤컴퍼니 차트보기</v>
      </c>
    </row>
    <row r="2402" spans="1:33" x14ac:dyDescent="0.3">
      <c r="A2402" t="s">
        <v>9635</v>
      </c>
      <c r="B2402" t="s">
        <v>55</v>
      </c>
      <c r="C2402" t="s">
        <v>9636</v>
      </c>
      <c r="D2402">
        <v>57024.67</v>
      </c>
      <c r="E2402" t="s">
        <v>9637</v>
      </c>
      <c r="F2402">
        <v>95.91</v>
      </c>
      <c r="G2402">
        <v>1.179999947547913</v>
      </c>
      <c r="H2402">
        <v>137</v>
      </c>
      <c r="I2402">
        <v>0.37999999523162842</v>
      </c>
      <c r="J2402" t="s">
        <v>9638</v>
      </c>
      <c r="K2402">
        <v>9850</v>
      </c>
      <c r="L2402">
        <v>13140</v>
      </c>
      <c r="M2402">
        <v>33.4</v>
      </c>
      <c r="N2402">
        <v>3.22</v>
      </c>
      <c r="O2402">
        <v>29.93</v>
      </c>
      <c r="P2402">
        <v>23.91</v>
      </c>
      <c r="Q2402">
        <v>-17.7</v>
      </c>
      <c r="R2402">
        <v>12.4</v>
      </c>
      <c r="S2402">
        <v>-2.85</v>
      </c>
      <c r="T2402">
        <v>2.8</v>
      </c>
      <c r="U2402">
        <v>3.44</v>
      </c>
      <c r="V2402">
        <v>3.34</v>
      </c>
      <c r="W2402">
        <v>3</v>
      </c>
      <c r="X2402">
        <v>3.78</v>
      </c>
      <c r="Y2402">
        <v>1.65</v>
      </c>
      <c r="Z2402">
        <v>1.1499999999999999</v>
      </c>
      <c r="AA2402">
        <v>8.6999999999999993</v>
      </c>
      <c r="AB2402">
        <v>7.16</v>
      </c>
      <c r="AC2402">
        <v>5.9</v>
      </c>
      <c r="AD2402">
        <v>3.28</v>
      </c>
      <c r="AE2402">
        <v>1.73</v>
      </c>
      <c r="AF2402">
        <v>4.6533333333333333</v>
      </c>
      <c r="AG2402" t="str">
        <f>HYPERLINK("https://finance.naver.com/item/fchart.naver?code=053160", "프리엠스 차트보기")</f>
        <v>프리엠스 차트보기</v>
      </c>
    </row>
    <row r="2403" spans="1:33" x14ac:dyDescent="0.3">
      <c r="A2403" t="s">
        <v>9639</v>
      </c>
      <c r="B2403" t="s">
        <v>34</v>
      </c>
      <c r="C2403" t="s">
        <v>9640</v>
      </c>
      <c r="D2403">
        <v>7830.33</v>
      </c>
      <c r="E2403" t="s">
        <v>9641</v>
      </c>
      <c r="F2403">
        <v>0</v>
      </c>
      <c r="G2403">
        <v>1.4600000381469731</v>
      </c>
      <c r="H2403">
        <v>0</v>
      </c>
      <c r="I2403">
        <v>0</v>
      </c>
      <c r="J2403" t="s">
        <v>9642</v>
      </c>
      <c r="K2403">
        <v>3170</v>
      </c>
      <c r="L2403">
        <v>2745</v>
      </c>
      <c r="M2403">
        <v>-13.41</v>
      </c>
      <c r="N2403">
        <v>2.04</v>
      </c>
      <c r="O2403">
        <v>-9.1199999999999992</v>
      </c>
      <c r="P2403">
        <v>11.64</v>
      </c>
      <c r="Q2403">
        <v>-14.75</v>
      </c>
      <c r="R2403">
        <v>-6.42</v>
      </c>
      <c r="S2403">
        <v>-1.26</v>
      </c>
      <c r="T2403">
        <v>0.34</v>
      </c>
      <c r="U2403">
        <v>1.7</v>
      </c>
      <c r="V2403">
        <v>2.2200000000000002</v>
      </c>
      <c r="W2403">
        <v>2.42</v>
      </c>
      <c r="X2403">
        <v>1.45</v>
      </c>
      <c r="Y2403">
        <v>1.57</v>
      </c>
      <c r="Z2403">
        <v>6</v>
      </c>
      <c r="AA2403">
        <v>5.36</v>
      </c>
      <c r="AB2403">
        <v>5.24</v>
      </c>
      <c r="AC2403">
        <v>6.1</v>
      </c>
      <c r="AD2403">
        <v>4.43</v>
      </c>
      <c r="AE2403">
        <v>0.8</v>
      </c>
      <c r="AF2403">
        <v>4.6550000000000002</v>
      </c>
      <c r="AG2403" t="str">
        <f>HYPERLINK("https://finance.naver.com/item/fchart.naver?code=051630", "진양화학 차트보기")</f>
        <v>진양화학 차트보기</v>
      </c>
    </row>
    <row r="2404" spans="1:33" x14ac:dyDescent="0.3">
      <c r="A2404" t="s">
        <v>9643</v>
      </c>
      <c r="B2404" t="s">
        <v>55</v>
      </c>
      <c r="C2404" t="s">
        <v>9644</v>
      </c>
      <c r="D2404">
        <v>469400.52</v>
      </c>
      <c r="E2404" t="s">
        <v>9645</v>
      </c>
      <c r="F2404">
        <v>0</v>
      </c>
      <c r="G2404">
        <v>1.200000047683716</v>
      </c>
      <c r="H2404">
        <v>0</v>
      </c>
      <c r="I2404">
        <v>0</v>
      </c>
      <c r="J2404" t="s">
        <v>9646</v>
      </c>
      <c r="K2404">
        <v>976</v>
      </c>
      <c r="L2404">
        <v>951</v>
      </c>
      <c r="M2404">
        <v>-2.56</v>
      </c>
      <c r="N2404">
        <v>-24.52</v>
      </c>
      <c r="O2404">
        <v>-9.0299999999999994</v>
      </c>
      <c r="P2404">
        <v>31.27</v>
      </c>
      <c r="Q2404">
        <v>25.6</v>
      </c>
      <c r="R2404">
        <v>-1.3</v>
      </c>
      <c r="S2404">
        <v>-7.87</v>
      </c>
      <c r="T2404">
        <v>2.58</v>
      </c>
      <c r="U2404">
        <v>5.65</v>
      </c>
      <c r="V2404">
        <v>4.5599999999999996</v>
      </c>
      <c r="W2404">
        <v>11.27</v>
      </c>
      <c r="X2404">
        <v>3.17</v>
      </c>
      <c r="Y2404">
        <v>1.08</v>
      </c>
      <c r="Z2404">
        <v>9.5</v>
      </c>
      <c r="AA2404">
        <v>1.6</v>
      </c>
      <c r="AB2404">
        <v>6.86</v>
      </c>
      <c r="AC2404">
        <v>2.27</v>
      </c>
      <c r="AD2404">
        <v>0.41</v>
      </c>
      <c r="AE2404">
        <v>7.29</v>
      </c>
      <c r="AF2404">
        <v>4.6550000000000002</v>
      </c>
      <c r="AG2404" t="str">
        <f>HYPERLINK("https://finance.naver.com/item/fchart.naver?code=085810", "알티캐스트 차트보기")</f>
        <v>알티캐스트 차트보기</v>
      </c>
    </row>
    <row r="2405" spans="1:33" x14ac:dyDescent="0.3">
      <c r="A2405" t="s">
        <v>9647</v>
      </c>
      <c r="B2405" t="s">
        <v>55</v>
      </c>
      <c r="C2405" t="s">
        <v>9648</v>
      </c>
      <c r="D2405">
        <v>57020.81</v>
      </c>
      <c r="E2405" t="s">
        <v>9649</v>
      </c>
      <c r="F2405">
        <v>7.92</v>
      </c>
      <c r="G2405">
        <v>2.6099998950958252</v>
      </c>
      <c r="H2405">
        <v>2132</v>
      </c>
      <c r="I2405">
        <v>0.5899999737739563</v>
      </c>
      <c r="J2405" t="s">
        <v>9650</v>
      </c>
      <c r="K2405">
        <v>21000</v>
      </c>
      <c r="L2405">
        <v>16890</v>
      </c>
      <c r="M2405">
        <v>-19.57</v>
      </c>
      <c r="N2405">
        <v>-4.8499999999999996</v>
      </c>
      <c r="O2405">
        <v>-10.1</v>
      </c>
      <c r="P2405">
        <v>10.48</v>
      </c>
      <c r="Q2405">
        <v>-4.75</v>
      </c>
      <c r="R2405">
        <v>-18.27</v>
      </c>
      <c r="S2405">
        <v>27.99</v>
      </c>
      <c r="T2405">
        <v>2.77</v>
      </c>
      <c r="U2405">
        <v>2.0299999999999998</v>
      </c>
      <c r="V2405">
        <v>2.64</v>
      </c>
      <c r="W2405">
        <v>3.6</v>
      </c>
      <c r="X2405">
        <v>2.89</v>
      </c>
      <c r="Y2405">
        <v>2.92</v>
      </c>
      <c r="Z2405">
        <v>1.75</v>
      </c>
      <c r="AA2405">
        <v>4.9800000000000004</v>
      </c>
      <c r="AB2405">
        <v>3.97</v>
      </c>
      <c r="AC2405">
        <v>1.32</v>
      </c>
      <c r="AD2405">
        <v>6.32</v>
      </c>
      <c r="AE2405">
        <v>9.59</v>
      </c>
      <c r="AF2405">
        <v>4.6550000000000002</v>
      </c>
      <c r="AG2405" t="str">
        <f>HYPERLINK("https://finance.naver.com/item/fchart.naver?code=290650", "엘앤씨바이오 차트보기")</f>
        <v>엘앤씨바이오 차트보기</v>
      </c>
    </row>
    <row r="2406" spans="1:33" x14ac:dyDescent="0.3">
      <c r="A2406" t="s">
        <v>9651</v>
      </c>
      <c r="B2406" t="s">
        <v>55</v>
      </c>
      <c r="C2406" t="s">
        <v>9652</v>
      </c>
      <c r="D2406">
        <v>106386.95</v>
      </c>
      <c r="E2406" t="s">
        <v>9653</v>
      </c>
      <c r="F2406">
        <v>0</v>
      </c>
      <c r="G2406">
        <v>0.14000000059604639</v>
      </c>
      <c r="H2406">
        <v>0</v>
      </c>
      <c r="I2406">
        <v>0</v>
      </c>
      <c r="J2406" t="s">
        <v>9654</v>
      </c>
      <c r="K2406">
        <v>3360</v>
      </c>
      <c r="L2406">
        <v>1742</v>
      </c>
      <c r="M2406">
        <v>-48.15</v>
      </c>
      <c r="N2406">
        <v>8.1999999999999993</v>
      </c>
      <c r="O2406">
        <v>-7.25</v>
      </c>
      <c r="P2406">
        <v>-14.58</v>
      </c>
      <c r="Q2406">
        <v>-24.91</v>
      </c>
      <c r="R2406">
        <v>-8.8000000000000007</v>
      </c>
      <c r="S2406">
        <v>-2.35</v>
      </c>
      <c r="T2406">
        <v>2.6</v>
      </c>
      <c r="U2406">
        <v>2.08</v>
      </c>
      <c r="V2406">
        <v>3.81</v>
      </c>
      <c r="W2406">
        <v>3.92</v>
      </c>
      <c r="X2406">
        <v>1.06</v>
      </c>
      <c r="Y2406">
        <v>0.83</v>
      </c>
      <c r="Z2406">
        <v>3.15</v>
      </c>
      <c r="AA2406">
        <v>3.49</v>
      </c>
      <c r="AB2406">
        <v>3.83</v>
      </c>
      <c r="AC2406">
        <v>6.35</v>
      </c>
      <c r="AD2406">
        <v>8.3000000000000007</v>
      </c>
      <c r="AE2406">
        <v>2.83</v>
      </c>
      <c r="AF2406">
        <v>4.6583333333333341</v>
      </c>
      <c r="AG2406" t="str">
        <f>HYPERLINK("https://finance.naver.com/item/fchart.naver?code=038540", "상상인 차트보기")</f>
        <v>상상인 차트보기</v>
      </c>
    </row>
    <row r="2407" spans="1:33" x14ac:dyDescent="0.3">
      <c r="A2407" t="s">
        <v>9655</v>
      </c>
      <c r="B2407" t="s">
        <v>55</v>
      </c>
      <c r="C2407" t="s">
        <v>9656</v>
      </c>
      <c r="D2407">
        <v>7276.71</v>
      </c>
      <c r="E2407" t="s">
        <v>9657</v>
      </c>
      <c r="F2407">
        <v>8.1999999999999993</v>
      </c>
      <c r="G2407">
        <v>0.56999999284744263</v>
      </c>
      <c r="H2407">
        <v>966</v>
      </c>
      <c r="I2407">
        <v>5.0500001907348633</v>
      </c>
      <c r="J2407" t="s">
        <v>9658</v>
      </c>
      <c r="K2407">
        <v>13290</v>
      </c>
      <c r="L2407">
        <v>7920</v>
      </c>
      <c r="M2407">
        <v>-40.409999999999997</v>
      </c>
      <c r="N2407">
        <v>-2.2200000000000002</v>
      </c>
      <c r="O2407">
        <v>-9.23</v>
      </c>
      <c r="P2407">
        <v>-6.01</v>
      </c>
      <c r="Q2407">
        <v>3.87</v>
      </c>
      <c r="R2407">
        <v>-25.31</v>
      </c>
      <c r="S2407">
        <v>2.4500000000000002</v>
      </c>
      <c r="T2407">
        <v>0.67</v>
      </c>
      <c r="U2407">
        <v>0.81</v>
      </c>
      <c r="V2407">
        <v>1.37</v>
      </c>
      <c r="W2407">
        <v>2.84</v>
      </c>
      <c r="X2407">
        <v>4.07</v>
      </c>
      <c r="Y2407">
        <v>1.92</v>
      </c>
      <c r="Z2407">
        <v>3.31</v>
      </c>
      <c r="AA2407">
        <v>11.4</v>
      </c>
      <c r="AB2407">
        <v>4.3899999999999997</v>
      </c>
      <c r="AC2407">
        <v>1.36</v>
      </c>
      <c r="AD2407">
        <v>6.22</v>
      </c>
      <c r="AE2407">
        <v>1.28</v>
      </c>
      <c r="AF2407">
        <v>4.66</v>
      </c>
      <c r="AG2407" t="str">
        <f>HYPERLINK("https://finance.naver.com/item/fchart.naver?code=318410", "비비씨 차트보기")</f>
        <v>비비씨 차트보기</v>
      </c>
    </row>
    <row r="2408" spans="1:33" x14ac:dyDescent="0.3">
      <c r="A2408" t="s">
        <v>9659</v>
      </c>
      <c r="B2408" t="s">
        <v>55</v>
      </c>
      <c r="C2408" t="s">
        <v>9660</v>
      </c>
      <c r="D2408">
        <v>142362.14000000001</v>
      </c>
      <c r="E2408" t="s">
        <v>9661</v>
      </c>
      <c r="F2408">
        <v>0</v>
      </c>
      <c r="G2408">
        <v>0.98000001907348633</v>
      </c>
      <c r="H2408">
        <v>0</v>
      </c>
      <c r="I2408">
        <v>0</v>
      </c>
      <c r="J2408" t="s">
        <v>9662</v>
      </c>
      <c r="K2408">
        <v>3510</v>
      </c>
      <c r="L2408">
        <v>2515</v>
      </c>
      <c r="M2408">
        <v>-28.35</v>
      </c>
      <c r="N2408">
        <v>1.21</v>
      </c>
      <c r="O2408">
        <v>-8.6</v>
      </c>
      <c r="P2408">
        <v>14.17</v>
      </c>
      <c r="Q2408">
        <v>-3.19</v>
      </c>
      <c r="R2408">
        <v>-17.309999999999999</v>
      </c>
      <c r="S2408">
        <v>-19.54</v>
      </c>
      <c r="T2408">
        <v>2.57</v>
      </c>
      <c r="U2408">
        <v>3.35</v>
      </c>
      <c r="V2408">
        <v>2.39</v>
      </c>
      <c r="W2408">
        <v>3.7</v>
      </c>
      <c r="X2408">
        <v>1.77</v>
      </c>
      <c r="Y2408">
        <v>2.33</v>
      </c>
      <c r="Z2408">
        <v>0.47</v>
      </c>
      <c r="AA2408">
        <v>2.57</v>
      </c>
      <c r="AB2408">
        <v>5.93</v>
      </c>
      <c r="AC2408">
        <v>0.86</v>
      </c>
      <c r="AD2408">
        <v>9.7799999999999994</v>
      </c>
      <c r="AE2408">
        <v>8.39</v>
      </c>
      <c r="AF2408">
        <v>4.666666666666667</v>
      </c>
      <c r="AG2408" t="str">
        <f>HYPERLINK("https://finance.naver.com/item/fchart.naver?code=088280", "쏘닉스 차트보기")</f>
        <v>쏘닉스 차트보기</v>
      </c>
    </row>
    <row r="2409" spans="1:33" x14ac:dyDescent="0.3">
      <c r="A2409" t="s">
        <v>9663</v>
      </c>
      <c r="B2409" t="s">
        <v>55</v>
      </c>
      <c r="C2409" t="s">
        <v>9664</v>
      </c>
      <c r="D2409">
        <v>8652.67</v>
      </c>
      <c r="E2409" t="s">
        <v>9665</v>
      </c>
      <c r="F2409">
        <v>0</v>
      </c>
      <c r="G2409">
        <v>3.1099998950958252</v>
      </c>
      <c r="H2409">
        <v>0</v>
      </c>
      <c r="I2409">
        <v>0</v>
      </c>
      <c r="J2409" t="s">
        <v>9666</v>
      </c>
      <c r="K2409">
        <v>9530</v>
      </c>
      <c r="L2409">
        <v>8070</v>
      </c>
      <c r="M2409">
        <v>-15.32</v>
      </c>
      <c r="N2409">
        <v>0.12</v>
      </c>
      <c r="O2409">
        <v>-7.75</v>
      </c>
      <c r="P2409">
        <v>-6.54</v>
      </c>
      <c r="Q2409">
        <v>5.47</v>
      </c>
      <c r="R2409">
        <v>-9.5399999999999991</v>
      </c>
      <c r="S2409">
        <v>-8.27</v>
      </c>
      <c r="T2409">
        <v>2.4300000000000002</v>
      </c>
      <c r="U2409">
        <v>0.87</v>
      </c>
      <c r="V2409">
        <v>1.31</v>
      </c>
      <c r="W2409">
        <v>2.42</v>
      </c>
      <c r="X2409">
        <v>1.1499999999999999</v>
      </c>
      <c r="Y2409">
        <v>2.37</v>
      </c>
      <c r="Z2409">
        <v>0.05</v>
      </c>
      <c r="AA2409">
        <v>8.91</v>
      </c>
      <c r="AB2409">
        <v>4.99</v>
      </c>
      <c r="AC2409">
        <v>2.2599999999999998</v>
      </c>
      <c r="AD2409">
        <v>8.3000000000000007</v>
      </c>
      <c r="AE2409">
        <v>3.49</v>
      </c>
      <c r="AF2409">
        <v>4.666666666666667</v>
      </c>
      <c r="AG2409" t="str">
        <f>HYPERLINK("https://finance.naver.com/item/fchart.naver?code=246960", "SCL사이언스 차트보기")</f>
        <v>SCL사이언스 차트보기</v>
      </c>
    </row>
    <row r="2410" spans="1:33" x14ac:dyDescent="0.3">
      <c r="A2410" t="s">
        <v>9667</v>
      </c>
      <c r="B2410" t="s">
        <v>55</v>
      </c>
      <c r="C2410" t="s">
        <v>9668</v>
      </c>
      <c r="D2410">
        <v>4332.1400000000003</v>
      </c>
      <c r="E2410" t="s">
        <v>9669</v>
      </c>
      <c r="F2410">
        <v>12.12</v>
      </c>
      <c r="G2410">
        <v>0.62999999523162842</v>
      </c>
      <c r="H2410">
        <v>1058</v>
      </c>
      <c r="I2410">
        <v>0.77999997138977051</v>
      </c>
      <c r="J2410" t="s">
        <v>9670</v>
      </c>
      <c r="K2410">
        <v>16060</v>
      </c>
      <c r="L2410">
        <v>12820</v>
      </c>
      <c r="M2410">
        <v>-20.170000000000002</v>
      </c>
      <c r="N2410">
        <v>-4.1900000000000004</v>
      </c>
      <c r="O2410">
        <v>-12.97</v>
      </c>
      <c r="P2410">
        <v>7.3</v>
      </c>
      <c r="Q2410">
        <v>-8.2799999999999994</v>
      </c>
      <c r="R2410">
        <v>-11.91</v>
      </c>
      <c r="S2410">
        <v>7.75</v>
      </c>
      <c r="T2410">
        <v>2.02</v>
      </c>
      <c r="U2410">
        <v>2.04</v>
      </c>
      <c r="V2410">
        <v>1.8</v>
      </c>
      <c r="W2410">
        <v>2.35</v>
      </c>
      <c r="X2410">
        <v>1.46</v>
      </c>
      <c r="Y2410">
        <v>2.02</v>
      </c>
      <c r="Z2410">
        <v>2.0699999999999998</v>
      </c>
      <c r="AA2410">
        <v>6.36</v>
      </c>
      <c r="AB2410">
        <v>4.0599999999999996</v>
      </c>
      <c r="AC2410">
        <v>3.52</v>
      </c>
      <c r="AD2410">
        <v>8.16</v>
      </c>
      <c r="AE2410">
        <v>3.84</v>
      </c>
      <c r="AF2410">
        <v>4.668333333333333</v>
      </c>
      <c r="AG2410" t="str">
        <f>HYPERLINK("https://finance.naver.com/item/fchart.naver?code=187870", "디바이스이엔지 차트보기")</f>
        <v>디바이스이엔지 차트보기</v>
      </c>
    </row>
    <row r="2411" spans="1:33" x14ac:dyDescent="0.3">
      <c r="A2411" t="s">
        <v>9671</v>
      </c>
      <c r="B2411" t="s">
        <v>34</v>
      </c>
      <c r="C2411" t="s">
        <v>9672</v>
      </c>
      <c r="D2411">
        <v>6600.95</v>
      </c>
      <c r="E2411" t="s">
        <v>9673</v>
      </c>
      <c r="F2411">
        <v>0</v>
      </c>
      <c r="G2411">
        <v>0.28999999165534968</v>
      </c>
      <c r="H2411">
        <v>0</v>
      </c>
      <c r="I2411">
        <v>9.3299999237060547</v>
      </c>
      <c r="J2411" t="s">
        <v>9674</v>
      </c>
      <c r="K2411">
        <v>19600</v>
      </c>
      <c r="L2411">
        <v>16080</v>
      </c>
      <c r="M2411">
        <v>-17.96</v>
      </c>
      <c r="N2411">
        <v>2.88</v>
      </c>
      <c r="O2411">
        <v>-5.27</v>
      </c>
      <c r="P2411">
        <v>-3.71</v>
      </c>
      <c r="Q2411">
        <v>-2.39</v>
      </c>
      <c r="R2411">
        <v>-6.24</v>
      </c>
      <c r="S2411">
        <v>-1.42</v>
      </c>
      <c r="T2411">
        <v>0.86</v>
      </c>
      <c r="U2411">
        <v>1.03</v>
      </c>
      <c r="V2411">
        <v>1.2</v>
      </c>
      <c r="W2411">
        <v>2.46</v>
      </c>
      <c r="X2411">
        <v>0.48</v>
      </c>
      <c r="Y2411">
        <v>0.56999999999999995</v>
      </c>
      <c r="Z2411">
        <v>3.35</v>
      </c>
      <c r="AA2411">
        <v>5.12</v>
      </c>
      <c r="AB2411">
        <v>3.09</v>
      </c>
      <c r="AC2411">
        <v>0.97</v>
      </c>
      <c r="AD2411">
        <v>13</v>
      </c>
      <c r="AE2411">
        <v>2.4900000000000002</v>
      </c>
      <c r="AF2411">
        <v>4.6700000000000008</v>
      </c>
      <c r="AG2411" t="str">
        <f>HYPERLINK("https://finance.naver.com/item/fchart.naver?code=003120", "일성아이에스 차트보기")</f>
        <v>일성아이에스 차트보기</v>
      </c>
    </row>
    <row r="2412" spans="1:33" x14ac:dyDescent="0.3">
      <c r="A2412" t="s">
        <v>9675</v>
      </c>
      <c r="B2412" t="s">
        <v>34</v>
      </c>
      <c r="C2412" t="s">
        <v>9676</v>
      </c>
      <c r="D2412">
        <v>1474800.9</v>
      </c>
      <c r="E2412" t="s">
        <v>9677</v>
      </c>
      <c r="F2412">
        <v>0</v>
      </c>
      <c r="G2412">
        <v>1</v>
      </c>
      <c r="H2412">
        <v>0</v>
      </c>
      <c r="I2412">
        <v>0</v>
      </c>
      <c r="J2412" t="s">
        <v>9678</v>
      </c>
      <c r="K2412">
        <v>1232</v>
      </c>
      <c r="L2412">
        <v>403</v>
      </c>
      <c r="M2412">
        <v>-67.290000000000006</v>
      </c>
      <c r="N2412">
        <v>-9.64</v>
      </c>
      <c r="O2412">
        <v>-15.72</v>
      </c>
      <c r="P2412">
        <v>-40</v>
      </c>
      <c r="Q2412">
        <v>-11.79</v>
      </c>
      <c r="R2412">
        <v>-13.53</v>
      </c>
      <c r="S2412">
        <v>-15.61</v>
      </c>
      <c r="T2412">
        <v>1.91</v>
      </c>
      <c r="U2412">
        <v>4.6100000000000003</v>
      </c>
      <c r="V2412">
        <v>5.91</v>
      </c>
      <c r="W2412">
        <v>3.49</v>
      </c>
      <c r="X2412">
        <v>2.25</v>
      </c>
      <c r="Y2412">
        <v>4.58</v>
      </c>
      <c r="Z2412">
        <v>5.05</v>
      </c>
      <c r="AA2412">
        <v>3.41</v>
      </c>
      <c r="AB2412">
        <v>6.77</v>
      </c>
      <c r="AC2412">
        <v>3.38</v>
      </c>
      <c r="AD2412">
        <v>6.01</v>
      </c>
      <c r="AE2412">
        <v>3.41</v>
      </c>
      <c r="AF2412">
        <v>4.671666666666666</v>
      </c>
      <c r="AG2412" t="str">
        <f>HYPERLINK("https://finance.naver.com/item/fchart.naver?code=011300", "성안머티리얼스 차트보기")</f>
        <v>성안머티리얼스 차트보기</v>
      </c>
    </row>
    <row r="2413" spans="1:33" x14ac:dyDescent="0.3">
      <c r="A2413" t="s">
        <v>9679</v>
      </c>
      <c r="B2413" t="s">
        <v>55</v>
      </c>
      <c r="C2413" t="s">
        <v>9680</v>
      </c>
      <c r="D2413">
        <v>80808.240000000005</v>
      </c>
      <c r="E2413" t="s">
        <v>9681</v>
      </c>
      <c r="F2413">
        <v>20.3</v>
      </c>
      <c r="G2413">
        <v>5.0300002098083496</v>
      </c>
      <c r="H2413">
        <v>3088</v>
      </c>
      <c r="I2413">
        <v>0.80000001192092896</v>
      </c>
      <c r="J2413" t="s">
        <v>9682</v>
      </c>
      <c r="K2413">
        <v>67000</v>
      </c>
      <c r="L2413">
        <v>62700</v>
      </c>
      <c r="M2413">
        <v>-6.42</v>
      </c>
      <c r="N2413">
        <v>-5</v>
      </c>
      <c r="O2413">
        <v>23.19</v>
      </c>
      <c r="P2413">
        <v>11.82</v>
      </c>
      <c r="Q2413">
        <v>-16.170000000000002</v>
      </c>
      <c r="R2413">
        <v>-16.79</v>
      </c>
      <c r="S2413">
        <v>7.25</v>
      </c>
      <c r="T2413">
        <v>2.52</v>
      </c>
      <c r="U2413">
        <v>2.4900000000000002</v>
      </c>
      <c r="V2413">
        <v>3.27</v>
      </c>
      <c r="W2413">
        <v>4.84</v>
      </c>
      <c r="X2413">
        <v>2.3199999999999998</v>
      </c>
      <c r="Y2413">
        <v>2.83</v>
      </c>
      <c r="Z2413">
        <v>1.98</v>
      </c>
      <c r="AA2413">
        <v>9.31</v>
      </c>
      <c r="AB2413">
        <v>3.61</v>
      </c>
      <c r="AC2413">
        <v>3.34</v>
      </c>
      <c r="AD2413">
        <v>7.24</v>
      </c>
      <c r="AE2413">
        <v>2.56</v>
      </c>
      <c r="AF2413">
        <v>4.6733333333333338</v>
      </c>
      <c r="AG2413" t="str">
        <f>HYPERLINK("https://finance.naver.com/item/fchart.naver?code=348210", "넥스틴 차트보기")</f>
        <v>넥스틴 차트보기</v>
      </c>
    </row>
    <row r="2414" spans="1:33" x14ac:dyDescent="0.3">
      <c r="A2414" t="s">
        <v>9683</v>
      </c>
      <c r="B2414" t="s">
        <v>55</v>
      </c>
      <c r="C2414" t="s">
        <v>9684</v>
      </c>
      <c r="D2414">
        <v>10566.1</v>
      </c>
      <c r="E2414" t="s">
        <v>9685</v>
      </c>
      <c r="F2414">
        <v>0</v>
      </c>
      <c r="G2414">
        <v>0.37999999523162842</v>
      </c>
      <c r="H2414">
        <v>0</v>
      </c>
      <c r="I2414">
        <v>0</v>
      </c>
      <c r="J2414" t="s">
        <v>9686</v>
      </c>
      <c r="K2414">
        <v>3695</v>
      </c>
      <c r="L2414">
        <v>2625</v>
      </c>
      <c r="M2414">
        <v>-28.96</v>
      </c>
      <c r="N2414">
        <v>-1.87</v>
      </c>
      <c r="O2414">
        <v>-3.21</v>
      </c>
      <c r="P2414">
        <v>-2.2599999999999998</v>
      </c>
      <c r="Q2414">
        <v>-7.74</v>
      </c>
      <c r="R2414">
        <v>-11.05</v>
      </c>
      <c r="S2414">
        <v>-5.34</v>
      </c>
      <c r="T2414">
        <v>1.84</v>
      </c>
      <c r="U2414">
        <v>1.22</v>
      </c>
      <c r="V2414">
        <v>2.08</v>
      </c>
      <c r="W2414">
        <v>2.74</v>
      </c>
      <c r="X2414">
        <v>0.98</v>
      </c>
      <c r="Y2414">
        <v>0.57999999999999996</v>
      </c>
      <c r="Z2414">
        <v>1.02</v>
      </c>
      <c r="AA2414">
        <v>2.63</v>
      </c>
      <c r="AB2414">
        <v>1.0900000000000001</v>
      </c>
      <c r="AC2414">
        <v>2.82</v>
      </c>
      <c r="AD2414">
        <v>11.28</v>
      </c>
      <c r="AE2414">
        <v>9.2100000000000009</v>
      </c>
      <c r="AF2414">
        <v>4.6749999999999998</v>
      </c>
      <c r="AG2414" t="str">
        <f>HYPERLINK("https://finance.naver.com/item/fchart.naver?code=045300", "성우테크론 차트보기")</f>
        <v>성우테크론 차트보기</v>
      </c>
    </row>
    <row r="2415" spans="1:33" x14ac:dyDescent="0.3">
      <c r="A2415" t="s">
        <v>9687</v>
      </c>
      <c r="B2415" t="s">
        <v>55</v>
      </c>
      <c r="C2415" t="s">
        <v>9688</v>
      </c>
      <c r="D2415">
        <v>206282.23999999999</v>
      </c>
      <c r="E2415" t="s">
        <v>9689</v>
      </c>
      <c r="F2415">
        <v>0</v>
      </c>
      <c r="G2415">
        <v>0.75999999046325684</v>
      </c>
      <c r="H2415">
        <v>0</v>
      </c>
      <c r="I2415">
        <v>0</v>
      </c>
      <c r="J2415" t="s">
        <v>9690</v>
      </c>
      <c r="K2415">
        <v>4890</v>
      </c>
      <c r="L2415">
        <v>3940</v>
      </c>
      <c r="M2415">
        <v>-19.43</v>
      </c>
      <c r="N2415">
        <v>12.09</v>
      </c>
      <c r="O2415">
        <v>10.67</v>
      </c>
      <c r="P2415">
        <v>2.9</v>
      </c>
      <c r="Q2415">
        <v>-15.97</v>
      </c>
      <c r="R2415">
        <v>-16.55</v>
      </c>
      <c r="S2415">
        <v>-8.32</v>
      </c>
      <c r="T2415">
        <v>4.28</v>
      </c>
      <c r="U2415">
        <v>2.38</v>
      </c>
      <c r="V2415">
        <v>3.48</v>
      </c>
      <c r="W2415">
        <v>5.17</v>
      </c>
      <c r="X2415">
        <v>1.66</v>
      </c>
      <c r="Y2415">
        <v>1.21</v>
      </c>
      <c r="Z2415">
        <v>2.82</v>
      </c>
      <c r="AA2415">
        <v>4.4800000000000004</v>
      </c>
      <c r="AB2415">
        <v>0.83</v>
      </c>
      <c r="AC2415">
        <v>3.09</v>
      </c>
      <c r="AD2415">
        <v>9.9700000000000006</v>
      </c>
      <c r="AE2415">
        <v>6.88</v>
      </c>
      <c r="AF2415">
        <v>4.6783333333333337</v>
      </c>
      <c r="AG2415" t="str">
        <f>HYPERLINK("https://finance.naver.com/item/fchart.naver?code=069410", "엔텔스 차트보기")</f>
        <v>엔텔스 차트보기</v>
      </c>
    </row>
    <row r="2416" spans="1:33" x14ac:dyDescent="0.3">
      <c r="A2416" t="s">
        <v>9691</v>
      </c>
      <c r="B2416" t="s">
        <v>34</v>
      </c>
      <c r="C2416" t="s">
        <v>9692</v>
      </c>
      <c r="D2416">
        <v>307.29000000000002</v>
      </c>
      <c r="E2416" t="s">
        <v>9693</v>
      </c>
      <c r="F2416">
        <v>0</v>
      </c>
      <c r="G2416">
        <v>0</v>
      </c>
      <c r="H2416">
        <v>0</v>
      </c>
      <c r="I2416">
        <v>1.970000028610229</v>
      </c>
      <c r="J2416" t="s">
        <v>9694</v>
      </c>
      <c r="K2416">
        <v>29950</v>
      </c>
      <c r="L2416">
        <v>40700</v>
      </c>
      <c r="M2416">
        <v>35.89</v>
      </c>
      <c r="N2416">
        <v>-0.25</v>
      </c>
      <c r="O2416">
        <v>-2.75</v>
      </c>
      <c r="P2416">
        <v>2.48</v>
      </c>
      <c r="Q2416">
        <v>0.75</v>
      </c>
      <c r="R2416">
        <v>20.81</v>
      </c>
      <c r="S2416">
        <v>11.52</v>
      </c>
      <c r="T2416">
        <v>0.88</v>
      </c>
      <c r="U2416">
        <v>0.55000000000000004</v>
      </c>
      <c r="V2416">
        <v>0.86</v>
      </c>
      <c r="W2416">
        <v>0.15</v>
      </c>
      <c r="X2416">
        <v>2.42</v>
      </c>
      <c r="Y2416">
        <v>1.8</v>
      </c>
      <c r="Z2416">
        <v>0.28000000000000003</v>
      </c>
      <c r="AA2416">
        <v>5</v>
      </c>
      <c r="AB2416">
        <v>2.88</v>
      </c>
      <c r="AC2416">
        <v>5</v>
      </c>
      <c r="AD2416">
        <v>8.6</v>
      </c>
      <c r="AE2416">
        <v>6.4</v>
      </c>
      <c r="AF2416">
        <v>4.6933333333333316</v>
      </c>
      <c r="AG2416" t="str">
        <f>HYPERLINK("https://finance.naver.com/item/fchart.naver?code=000885", "한화우 차트보기")</f>
        <v>한화우 차트보기</v>
      </c>
    </row>
    <row r="2417" spans="1:33" x14ac:dyDescent="0.3">
      <c r="A2417" t="s">
        <v>9695</v>
      </c>
      <c r="B2417" t="s">
        <v>34</v>
      </c>
      <c r="C2417" t="s">
        <v>9696</v>
      </c>
      <c r="D2417">
        <v>6995.9</v>
      </c>
      <c r="E2417" t="s">
        <v>9697</v>
      </c>
      <c r="F2417">
        <v>0</v>
      </c>
      <c r="G2417">
        <v>0</v>
      </c>
      <c r="H2417">
        <v>0</v>
      </c>
      <c r="I2417">
        <v>6.3499999046325684</v>
      </c>
      <c r="J2417" t="s">
        <v>9698</v>
      </c>
      <c r="K2417">
        <v>13370</v>
      </c>
      <c r="L2417">
        <v>13380</v>
      </c>
      <c r="M2417">
        <v>7.0000000000000007E-2</v>
      </c>
      <c r="N2417">
        <v>0.15</v>
      </c>
      <c r="O2417">
        <v>-22.07</v>
      </c>
      <c r="P2417">
        <v>-20.85</v>
      </c>
      <c r="Q2417">
        <v>47.83</v>
      </c>
      <c r="R2417">
        <v>11.11</v>
      </c>
      <c r="S2417">
        <v>-2.0299999999999998</v>
      </c>
      <c r="T2417">
        <v>0.78</v>
      </c>
      <c r="U2417">
        <v>1.58</v>
      </c>
      <c r="V2417">
        <v>6.44</v>
      </c>
      <c r="W2417">
        <v>12.69</v>
      </c>
      <c r="X2417">
        <v>2.8</v>
      </c>
      <c r="Y2417">
        <v>0.67</v>
      </c>
      <c r="Z2417">
        <v>0.19</v>
      </c>
      <c r="AA2417">
        <v>13.97</v>
      </c>
      <c r="AB2417">
        <v>3.24</v>
      </c>
      <c r="AC2417">
        <v>3.77</v>
      </c>
      <c r="AD2417">
        <v>3.97</v>
      </c>
      <c r="AE2417">
        <v>3.03</v>
      </c>
      <c r="AF2417">
        <v>4.6949999999999994</v>
      </c>
      <c r="AG2417" t="str">
        <f>HYPERLINK("https://finance.naver.com/item/fchart.naver?code=001755", "한양증권우 차트보기")</f>
        <v>한양증권우 차트보기</v>
      </c>
    </row>
    <row r="2418" spans="1:33" x14ac:dyDescent="0.3">
      <c r="A2418" t="s">
        <v>9699</v>
      </c>
      <c r="B2418" t="s">
        <v>55</v>
      </c>
      <c r="C2418" t="s">
        <v>9700</v>
      </c>
      <c r="D2418">
        <v>904011.24</v>
      </c>
      <c r="E2418" t="s">
        <v>9701</v>
      </c>
      <c r="F2418">
        <v>0</v>
      </c>
      <c r="G2418">
        <v>0.47999998927116388</v>
      </c>
      <c r="H2418">
        <v>0</v>
      </c>
      <c r="I2418">
        <v>0</v>
      </c>
      <c r="J2418" t="s">
        <v>9702</v>
      </c>
      <c r="K2418">
        <v>364</v>
      </c>
      <c r="L2418">
        <v>127</v>
      </c>
      <c r="M2418">
        <v>-65.11</v>
      </c>
      <c r="N2418">
        <v>-7.3</v>
      </c>
      <c r="O2418">
        <v>-13.38</v>
      </c>
      <c r="P2418">
        <v>-35.340000000000003</v>
      </c>
      <c r="Q2418">
        <v>-21.02</v>
      </c>
      <c r="R2418">
        <v>-12.36</v>
      </c>
      <c r="S2418">
        <v>-1.96</v>
      </c>
      <c r="T2418">
        <v>3.06</v>
      </c>
      <c r="U2418">
        <v>2.2400000000000002</v>
      </c>
      <c r="V2418">
        <v>7.33</v>
      </c>
      <c r="W2418">
        <v>5.56</v>
      </c>
      <c r="X2418">
        <v>1.31</v>
      </c>
      <c r="Y2418">
        <v>1.07</v>
      </c>
      <c r="Z2418">
        <v>2.39</v>
      </c>
      <c r="AA2418">
        <v>5.97</v>
      </c>
      <c r="AB2418">
        <v>4.82</v>
      </c>
      <c r="AC2418">
        <v>3.78</v>
      </c>
      <c r="AD2418">
        <v>9.44</v>
      </c>
      <c r="AE2418">
        <v>1.83</v>
      </c>
      <c r="AF2418">
        <v>4.7049999999999992</v>
      </c>
      <c r="AG2418" t="str">
        <f>HYPERLINK("https://finance.naver.com/item/fchart.naver?code=051780", "큐로홀딩스 차트보기")</f>
        <v>큐로홀딩스 차트보기</v>
      </c>
    </row>
    <row r="2419" spans="1:33" x14ac:dyDescent="0.3">
      <c r="A2419" t="s">
        <v>9703</v>
      </c>
      <c r="B2419" t="s">
        <v>55</v>
      </c>
      <c r="C2419" t="s">
        <v>9704</v>
      </c>
      <c r="D2419">
        <v>765620.86</v>
      </c>
      <c r="E2419" t="s">
        <v>9705</v>
      </c>
      <c r="F2419">
        <v>0</v>
      </c>
      <c r="G2419">
        <v>3.9000000953674321</v>
      </c>
      <c r="H2419">
        <v>0</v>
      </c>
      <c r="I2419">
        <v>0</v>
      </c>
      <c r="J2419" t="s">
        <v>9706</v>
      </c>
      <c r="K2419">
        <v>4130</v>
      </c>
      <c r="L2419">
        <v>6370</v>
      </c>
      <c r="M2419">
        <v>54.24</v>
      </c>
      <c r="N2419">
        <v>-5.49</v>
      </c>
      <c r="O2419">
        <v>18.739999999999998</v>
      </c>
      <c r="P2419">
        <v>1.71</v>
      </c>
      <c r="Q2419">
        <v>13.58</v>
      </c>
      <c r="R2419">
        <v>34.56</v>
      </c>
      <c r="S2419">
        <v>-11.14</v>
      </c>
      <c r="T2419">
        <v>1.44</v>
      </c>
      <c r="U2419">
        <v>4.42</v>
      </c>
      <c r="V2419">
        <v>3.41</v>
      </c>
      <c r="W2419">
        <v>6.17</v>
      </c>
      <c r="X2419">
        <v>3</v>
      </c>
      <c r="Y2419">
        <v>1.87</v>
      </c>
      <c r="Z2419">
        <v>3.81</v>
      </c>
      <c r="AA2419">
        <v>4.24</v>
      </c>
      <c r="AB2419">
        <v>0.5</v>
      </c>
      <c r="AC2419">
        <v>2.2000000000000002</v>
      </c>
      <c r="AD2419">
        <v>11.52</v>
      </c>
      <c r="AE2419">
        <v>5.96</v>
      </c>
      <c r="AF2419">
        <v>4.7050000000000001</v>
      </c>
      <c r="AG2419" t="str">
        <f>HYPERLINK("https://finance.naver.com/item/fchart.naver?code=334970", "프레스티지바이오로직스 차트보기")</f>
        <v>프레스티지바이오로직스 차트보기</v>
      </c>
    </row>
    <row r="2420" spans="1:33" x14ac:dyDescent="0.3">
      <c r="A2420" t="s">
        <v>9707</v>
      </c>
      <c r="B2420" t="s">
        <v>55</v>
      </c>
      <c r="C2420" t="s">
        <v>9708</v>
      </c>
      <c r="D2420">
        <v>65188.86</v>
      </c>
      <c r="E2420" t="s">
        <v>9709</v>
      </c>
      <c r="F2420">
        <v>7.15</v>
      </c>
      <c r="G2420">
        <v>0.6600000262260437</v>
      </c>
      <c r="H2420">
        <v>601</v>
      </c>
      <c r="I2420">
        <v>0</v>
      </c>
      <c r="J2420" t="s">
        <v>9710</v>
      </c>
      <c r="K2420">
        <v>8980</v>
      </c>
      <c r="L2420">
        <v>4300</v>
      </c>
      <c r="M2420">
        <v>-52.12</v>
      </c>
      <c r="N2420">
        <v>-9.4700000000000006</v>
      </c>
      <c r="O2420">
        <v>-11.42</v>
      </c>
      <c r="P2420">
        <v>-10.17</v>
      </c>
      <c r="Q2420">
        <v>-13.49</v>
      </c>
      <c r="R2420">
        <v>-9.8000000000000007</v>
      </c>
      <c r="S2420">
        <v>-8.14</v>
      </c>
      <c r="T2420">
        <v>2.0099999999999998</v>
      </c>
      <c r="U2420">
        <v>1.92</v>
      </c>
      <c r="V2420">
        <v>2.75</v>
      </c>
      <c r="W2420">
        <v>4.24</v>
      </c>
      <c r="X2420">
        <v>2.2000000000000002</v>
      </c>
      <c r="Y2420">
        <v>1.29</v>
      </c>
      <c r="Z2420">
        <v>4.71</v>
      </c>
      <c r="AA2420">
        <v>5.95</v>
      </c>
      <c r="AB2420">
        <v>3.7</v>
      </c>
      <c r="AC2420">
        <v>3.18</v>
      </c>
      <c r="AD2420">
        <v>4.45</v>
      </c>
      <c r="AE2420">
        <v>6.31</v>
      </c>
      <c r="AF2420">
        <v>4.7166666666666659</v>
      </c>
      <c r="AG2420" t="str">
        <f>HYPERLINK("https://finance.naver.com/item/fchart.naver?code=089790", "제이티 차트보기")</f>
        <v>제이티 차트보기</v>
      </c>
    </row>
    <row r="2421" spans="1:33" x14ac:dyDescent="0.3">
      <c r="A2421" t="s">
        <v>9711</v>
      </c>
      <c r="B2421" t="s">
        <v>34</v>
      </c>
      <c r="C2421" t="s">
        <v>9712</v>
      </c>
      <c r="D2421">
        <v>9566401.4800000004</v>
      </c>
      <c r="E2421" t="s">
        <v>9713</v>
      </c>
      <c r="J2421" t="s">
        <v>9714</v>
      </c>
      <c r="K2421">
        <v>228</v>
      </c>
      <c r="L2421">
        <v>123</v>
      </c>
      <c r="M2421">
        <v>-46.05</v>
      </c>
      <c r="N2421">
        <v>-21.66</v>
      </c>
      <c r="O2421">
        <v>-36.979999999999997</v>
      </c>
      <c r="P2421">
        <v>-13.18</v>
      </c>
      <c r="Q2421">
        <v>0.46</v>
      </c>
      <c r="R2421">
        <v>-9.1300000000000008</v>
      </c>
      <c r="S2421">
        <v>-5.86</v>
      </c>
      <c r="T2421">
        <v>16.59</v>
      </c>
      <c r="U2421">
        <v>2.68</v>
      </c>
      <c r="V2421">
        <v>3.86</v>
      </c>
      <c r="W2421">
        <v>1.92</v>
      </c>
      <c r="X2421">
        <v>1.22</v>
      </c>
      <c r="Y2421">
        <v>2.84</v>
      </c>
      <c r="Z2421">
        <v>1.31</v>
      </c>
      <c r="AA2421">
        <v>13.8</v>
      </c>
      <c r="AB2421">
        <v>3.41</v>
      </c>
      <c r="AC2421">
        <v>0.24</v>
      </c>
      <c r="AD2421">
        <v>7.48</v>
      </c>
      <c r="AE2421">
        <v>2.06</v>
      </c>
      <c r="AF2421">
        <v>4.7166666666666668</v>
      </c>
      <c r="AG2421" t="str">
        <f>HYPERLINK("https://finance.naver.com/item/fchart.naver?code=168490", "한국패러랠 차트보기")</f>
        <v>한국패러랠 차트보기</v>
      </c>
    </row>
    <row r="2422" spans="1:33" x14ac:dyDescent="0.3">
      <c r="A2422" t="s">
        <v>9715</v>
      </c>
      <c r="B2422" t="s">
        <v>55</v>
      </c>
      <c r="C2422" t="s">
        <v>9716</v>
      </c>
      <c r="D2422">
        <v>29797</v>
      </c>
      <c r="E2422" t="s">
        <v>9717</v>
      </c>
      <c r="F2422">
        <v>0</v>
      </c>
      <c r="G2422">
        <v>0.92000001668930054</v>
      </c>
      <c r="H2422">
        <v>0</v>
      </c>
      <c r="I2422">
        <v>0</v>
      </c>
      <c r="J2422" t="s">
        <v>9718</v>
      </c>
      <c r="K2422">
        <v>1494</v>
      </c>
      <c r="L2422">
        <v>1141</v>
      </c>
      <c r="M2422">
        <v>-23.63</v>
      </c>
      <c r="N2422">
        <v>2.89</v>
      </c>
      <c r="O2422">
        <v>-11.28</v>
      </c>
      <c r="P2422">
        <v>2.67</v>
      </c>
      <c r="Q2422">
        <v>2.0499999999999998</v>
      </c>
      <c r="R2422">
        <v>-12.95</v>
      </c>
      <c r="S2422">
        <v>-4.95</v>
      </c>
      <c r="T2422">
        <v>1.84</v>
      </c>
      <c r="U2422">
        <v>1.19</v>
      </c>
      <c r="V2422">
        <v>2.02</v>
      </c>
      <c r="W2422">
        <v>4.47</v>
      </c>
      <c r="X2422">
        <v>1.27</v>
      </c>
      <c r="Y2422">
        <v>0.93</v>
      </c>
      <c r="Z2422">
        <v>1.57</v>
      </c>
      <c r="AA2422">
        <v>9.48</v>
      </c>
      <c r="AB2422">
        <v>1.32</v>
      </c>
      <c r="AC2422">
        <v>0.46</v>
      </c>
      <c r="AD2422">
        <v>10.199999999999999</v>
      </c>
      <c r="AE2422">
        <v>5.32</v>
      </c>
      <c r="AF2422">
        <v>4.7250000000000014</v>
      </c>
      <c r="AG2422" t="str">
        <f>HYPERLINK("https://finance.naver.com/item/fchart.naver?code=018700", "바른손 차트보기")</f>
        <v>바른손 차트보기</v>
      </c>
    </row>
    <row r="2423" spans="1:33" x14ac:dyDescent="0.3">
      <c r="A2423" t="s">
        <v>9719</v>
      </c>
      <c r="B2423" t="s">
        <v>55</v>
      </c>
      <c r="C2423" t="s">
        <v>9720</v>
      </c>
      <c r="D2423">
        <v>17518.14</v>
      </c>
      <c r="E2423" t="s">
        <v>9721</v>
      </c>
      <c r="F2423">
        <v>0</v>
      </c>
      <c r="G2423">
        <v>0.86000001430511475</v>
      </c>
      <c r="H2423">
        <v>0</v>
      </c>
      <c r="I2423">
        <v>0</v>
      </c>
      <c r="J2423" t="s">
        <v>9722</v>
      </c>
      <c r="K2423">
        <v>4560</v>
      </c>
      <c r="L2423">
        <v>3150</v>
      </c>
      <c r="M2423">
        <v>-30.92</v>
      </c>
      <c r="N2423">
        <v>-2.17</v>
      </c>
      <c r="O2423">
        <v>-9.42</v>
      </c>
      <c r="P2423">
        <v>3.29</v>
      </c>
      <c r="Q2423">
        <v>-13.81</v>
      </c>
      <c r="R2423">
        <v>-7.99</v>
      </c>
      <c r="S2423">
        <v>-5.99</v>
      </c>
      <c r="T2423">
        <v>0.8</v>
      </c>
      <c r="U2423">
        <v>1.44</v>
      </c>
      <c r="V2423">
        <v>3.07</v>
      </c>
      <c r="W2423">
        <v>3.02</v>
      </c>
      <c r="X2423">
        <v>0.92</v>
      </c>
      <c r="Y2423">
        <v>1.25</v>
      </c>
      <c r="Z2423">
        <v>2.71</v>
      </c>
      <c r="AA2423">
        <v>6.54</v>
      </c>
      <c r="AB2423">
        <v>1.07</v>
      </c>
      <c r="AC2423">
        <v>4.57</v>
      </c>
      <c r="AD2423">
        <v>8.68</v>
      </c>
      <c r="AE2423">
        <v>4.79</v>
      </c>
      <c r="AF2423">
        <v>4.7266666666666666</v>
      </c>
      <c r="AG2423" t="str">
        <f>HYPERLINK("https://finance.naver.com/item/fchart.naver?code=368970", "오에스피 차트보기")</f>
        <v>오에스피 차트보기</v>
      </c>
    </row>
    <row r="2424" spans="1:33" x14ac:dyDescent="0.3">
      <c r="A2424" t="s">
        <v>9723</v>
      </c>
      <c r="B2424" t="s">
        <v>55</v>
      </c>
      <c r="C2424" t="s">
        <v>9724</v>
      </c>
      <c r="D2424">
        <v>78704.710000000006</v>
      </c>
      <c r="E2424" t="s">
        <v>9725</v>
      </c>
      <c r="F2424">
        <v>15.04</v>
      </c>
      <c r="G2424">
        <v>0.43999999761581421</v>
      </c>
      <c r="H2424">
        <v>83</v>
      </c>
      <c r="I2424">
        <v>0</v>
      </c>
      <c r="J2424" t="s">
        <v>9726</v>
      </c>
      <c r="K2424">
        <v>1878</v>
      </c>
      <c r="L2424">
        <v>1248</v>
      </c>
      <c r="M2424">
        <v>-33.549999999999997</v>
      </c>
      <c r="N2424">
        <v>-0.08</v>
      </c>
      <c r="O2424">
        <v>-4.9800000000000004</v>
      </c>
      <c r="P2424">
        <v>-5.74</v>
      </c>
      <c r="Q2424">
        <v>-7.41</v>
      </c>
      <c r="R2424">
        <v>-11.27</v>
      </c>
      <c r="S2424">
        <v>-6.02</v>
      </c>
      <c r="T2424">
        <v>0.68</v>
      </c>
      <c r="U2424">
        <v>1.1200000000000001</v>
      </c>
      <c r="V2424">
        <v>1.89</v>
      </c>
      <c r="W2424">
        <v>4.2</v>
      </c>
      <c r="X2424">
        <v>1</v>
      </c>
      <c r="Y2424">
        <v>0.78</v>
      </c>
      <c r="Z2424">
        <v>0.12</v>
      </c>
      <c r="AA2424">
        <v>4.45</v>
      </c>
      <c r="AB2424">
        <v>3.04</v>
      </c>
      <c r="AC2424">
        <v>1.76</v>
      </c>
      <c r="AD2424">
        <v>11.27</v>
      </c>
      <c r="AE2424">
        <v>7.72</v>
      </c>
      <c r="AF2424">
        <v>4.7266666666666666</v>
      </c>
      <c r="AG2424" t="str">
        <f>HYPERLINK("https://finance.naver.com/item/fchart.naver?code=234100", "폴라리스세원 차트보기")</f>
        <v>폴라리스세원 차트보기</v>
      </c>
    </row>
    <row r="2425" spans="1:33" x14ac:dyDescent="0.3">
      <c r="A2425" t="s">
        <v>9727</v>
      </c>
      <c r="B2425" t="s">
        <v>55</v>
      </c>
      <c r="C2425" t="s">
        <v>9728</v>
      </c>
      <c r="D2425">
        <v>67993.429999999993</v>
      </c>
      <c r="E2425" t="s">
        <v>9729</v>
      </c>
      <c r="F2425">
        <v>0</v>
      </c>
      <c r="G2425">
        <v>4.2899999618530273</v>
      </c>
      <c r="H2425">
        <v>0</v>
      </c>
      <c r="I2425">
        <v>0</v>
      </c>
      <c r="J2425" t="s">
        <v>9730</v>
      </c>
      <c r="K2425">
        <v>15160</v>
      </c>
      <c r="L2425">
        <v>31350</v>
      </c>
      <c r="M2425">
        <v>106.79</v>
      </c>
      <c r="N2425">
        <v>36.299999999999997</v>
      </c>
      <c r="O2425">
        <v>10.48</v>
      </c>
      <c r="P2425">
        <v>81.94</v>
      </c>
      <c r="Q2425">
        <v>-17.8</v>
      </c>
      <c r="R2425">
        <v>1.95</v>
      </c>
      <c r="S2425">
        <v>-10.17</v>
      </c>
      <c r="T2425">
        <v>6.97</v>
      </c>
      <c r="U2425">
        <v>4.58</v>
      </c>
      <c r="V2425">
        <v>8.51</v>
      </c>
      <c r="W2425">
        <v>3.38</v>
      </c>
      <c r="X2425">
        <v>1.99</v>
      </c>
      <c r="Y2425">
        <v>2.04</v>
      </c>
      <c r="Z2425">
        <v>5.21</v>
      </c>
      <c r="AA2425">
        <v>2.29</v>
      </c>
      <c r="AB2425">
        <v>9.6300000000000008</v>
      </c>
      <c r="AC2425">
        <v>5.27</v>
      </c>
      <c r="AD2425">
        <v>0.98</v>
      </c>
      <c r="AE2425">
        <v>4.99</v>
      </c>
      <c r="AF2425">
        <v>4.7283333333333344</v>
      </c>
      <c r="AG2425" t="str">
        <f>HYPERLINK("https://finance.naver.com/item/fchart.naver?code=210120", "빅텐츠 차트보기")</f>
        <v>빅텐츠 차트보기</v>
      </c>
    </row>
    <row r="2426" spans="1:33" x14ac:dyDescent="0.3">
      <c r="A2426" t="s">
        <v>9731</v>
      </c>
      <c r="B2426" t="s">
        <v>55</v>
      </c>
      <c r="C2426" t="s">
        <v>9732</v>
      </c>
      <c r="D2426">
        <v>65675.14</v>
      </c>
      <c r="E2426" t="s">
        <v>9733</v>
      </c>
      <c r="F2426">
        <v>0</v>
      </c>
      <c r="G2426">
        <v>1.870000004768372</v>
      </c>
      <c r="H2426">
        <v>0</v>
      </c>
      <c r="I2426">
        <v>0</v>
      </c>
      <c r="J2426" t="s">
        <v>9734</v>
      </c>
      <c r="K2426">
        <v>1896</v>
      </c>
      <c r="L2426">
        <v>1087</v>
      </c>
      <c r="M2426">
        <v>-42.67</v>
      </c>
      <c r="N2426">
        <v>-3.46</v>
      </c>
      <c r="O2426">
        <v>-8.9700000000000006</v>
      </c>
      <c r="P2426">
        <v>-7.73</v>
      </c>
      <c r="Q2426">
        <v>-5.19</v>
      </c>
      <c r="R2426">
        <v>-5.94</v>
      </c>
      <c r="S2426">
        <v>-9.7100000000000009</v>
      </c>
      <c r="T2426">
        <v>1.56</v>
      </c>
      <c r="U2426">
        <v>3.06</v>
      </c>
      <c r="V2426">
        <v>0.93</v>
      </c>
      <c r="W2426">
        <v>1.93</v>
      </c>
      <c r="X2426">
        <v>0.93</v>
      </c>
      <c r="Y2426">
        <v>1.66</v>
      </c>
      <c r="Z2426">
        <v>2.2200000000000002</v>
      </c>
      <c r="AA2426">
        <v>2.93</v>
      </c>
      <c r="AB2426">
        <v>8.31</v>
      </c>
      <c r="AC2426">
        <v>2.69</v>
      </c>
      <c r="AD2426">
        <v>6.39</v>
      </c>
      <c r="AE2426">
        <v>5.85</v>
      </c>
      <c r="AF2426">
        <v>4.7316666666666656</v>
      </c>
      <c r="AG2426" t="str">
        <f>HYPERLINK("https://finance.naver.com/item/fchart.naver?code=205500", "액션스퀘어 차트보기")</f>
        <v>액션스퀘어 차트보기</v>
      </c>
    </row>
    <row r="2427" spans="1:33" x14ac:dyDescent="0.3">
      <c r="A2427" t="s">
        <v>9735</v>
      </c>
      <c r="B2427" t="s">
        <v>34</v>
      </c>
      <c r="C2427" t="s">
        <v>9736</v>
      </c>
      <c r="D2427">
        <v>9326.3799999999992</v>
      </c>
      <c r="E2427" t="s">
        <v>9737</v>
      </c>
      <c r="F2427">
        <v>4.1100000000000003</v>
      </c>
      <c r="G2427">
        <v>0.23000000417232511</v>
      </c>
      <c r="H2427">
        <v>2302</v>
      </c>
      <c r="I2427">
        <v>5.2800002098083496</v>
      </c>
      <c r="J2427" t="s">
        <v>9738</v>
      </c>
      <c r="K2427">
        <v>9970</v>
      </c>
      <c r="L2427">
        <v>9470</v>
      </c>
      <c r="M2427">
        <v>-5.0199999999999996</v>
      </c>
      <c r="N2427">
        <v>7.13</v>
      </c>
      <c r="O2427">
        <v>4.34</v>
      </c>
      <c r="P2427">
        <v>-6.29</v>
      </c>
      <c r="Q2427">
        <v>-2.25</v>
      </c>
      <c r="R2427">
        <v>-2.3199999999999998</v>
      </c>
      <c r="S2427">
        <v>-1.87</v>
      </c>
      <c r="T2427">
        <v>3.38</v>
      </c>
      <c r="U2427">
        <v>1.32</v>
      </c>
      <c r="V2427">
        <v>0.43</v>
      </c>
      <c r="W2427">
        <v>0.95</v>
      </c>
      <c r="X2427">
        <v>0.59</v>
      </c>
      <c r="Y2427">
        <v>0.89</v>
      </c>
      <c r="Z2427">
        <v>2.11</v>
      </c>
      <c r="AA2427">
        <v>3.29</v>
      </c>
      <c r="AB2427">
        <v>14.63</v>
      </c>
      <c r="AC2427">
        <v>2.37</v>
      </c>
      <c r="AD2427">
        <v>3.93</v>
      </c>
      <c r="AE2427">
        <v>2.1</v>
      </c>
      <c r="AF2427">
        <v>4.7383333333333342</v>
      </c>
      <c r="AG2427" t="str">
        <f>HYPERLINK("https://finance.naver.com/item/fchart.naver?code=002460", "HS화성 차트보기")</f>
        <v>HS화성 차트보기</v>
      </c>
    </row>
    <row r="2428" spans="1:33" x14ac:dyDescent="0.3">
      <c r="A2428" t="s">
        <v>9739</v>
      </c>
      <c r="B2428" t="s">
        <v>55</v>
      </c>
      <c r="C2428" t="s">
        <v>9740</v>
      </c>
      <c r="D2428">
        <v>906560.29</v>
      </c>
      <c r="E2428" t="s">
        <v>9741</v>
      </c>
      <c r="F2428">
        <v>52.15</v>
      </c>
      <c r="G2428">
        <v>2.6099998950958252</v>
      </c>
      <c r="H2428">
        <v>311</v>
      </c>
      <c r="I2428">
        <v>0</v>
      </c>
      <c r="J2428" t="s">
        <v>9742</v>
      </c>
      <c r="K2428">
        <v>19010</v>
      </c>
      <c r="L2428">
        <v>16220</v>
      </c>
      <c r="M2428">
        <v>-14.68</v>
      </c>
      <c r="N2428">
        <v>-15.96</v>
      </c>
      <c r="O2428">
        <v>-5.66</v>
      </c>
      <c r="P2428">
        <v>10</v>
      </c>
      <c r="Q2428">
        <v>-15.44</v>
      </c>
      <c r="R2428">
        <v>-23.51</v>
      </c>
      <c r="S2428">
        <v>58.7</v>
      </c>
      <c r="T2428">
        <v>2.68</v>
      </c>
      <c r="U2428">
        <v>4.21</v>
      </c>
      <c r="V2428">
        <v>6.38</v>
      </c>
      <c r="W2428">
        <v>4.45</v>
      </c>
      <c r="X2428">
        <v>3.91</v>
      </c>
      <c r="Y2428">
        <v>5.81</v>
      </c>
      <c r="Z2428">
        <v>5.96</v>
      </c>
      <c r="AA2428">
        <v>1.34</v>
      </c>
      <c r="AB2428">
        <v>1.57</v>
      </c>
      <c r="AC2428">
        <v>3.47</v>
      </c>
      <c r="AD2428">
        <v>6.01</v>
      </c>
      <c r="AE2428">
        <v>10.1</v>
      </c>
      <c r="AF2428">
        <v>4.7416666666666671</v>
      </c>
      <c r="AG2428" t="str">
        <f>HYPERLINK("https://finance.naver.com/item/fchart.naver?code=204270", "제이앤티씨 차트보기")</f>
        <v>제이앤티씨 차트보기</v>
      </c>
    </row>
    <row r="2429" spans="1:33" x14ac:dyDescent="0.3">
      <c r="A2429" t="s">
        <v>9743</v>
      </c>
      <c r="B2429" t="s">
        <v>55</v>
      </c>
      <c r="C2429" t="s">
        <v>9744</v>
      </c>
      <c r="D2429">
        <v>15593.48</v>
      </c>
      <c r="E2429" t="s">
        <v>9745</v>
      </c>
      <c r="F2429">
        <v>9.27</v>
      </c>
      <c r="G2429">
        <v>0.51999998092651367</v>
      </c>
      <c r="H2429">
        <v>430</v>
      </c>
      <c r="I2429">
        <v>0</v>
      </c>
      <c r="J2429" t="s">
        <v>9746</v>
      </c>
      <c r="K2429">
        <v>5220</v>
      </c>
      <c r="L2429">
        <v>3985</v>
      </c>
      <c r="M2429">
        <v>-23.66</v>
      </c>
      <c r="N2429">
        <v>-0.25</v>
      </c>
      <c r="O2429">
        <v>-3.02</v>
      </c>
      <c r="P2429">
        <v>-4.3499999999999996</v>
      </c>
      <c r="Q2429">
        <v>-6.18</v>
      </c>
      <c r="R2429">
        <v>-8.5</v>
      </c>
      <c r="S2429">
        <v>-5.59</v>
      </c>
      <c r="T2429">
        <v>2.61</v>
      </c>
      <c r="U2429">
        <v>0.69</v>
      </c>
      <c r="V2429">
        <v>1.42</v>
      </c>
      <c r="W2429">
        <v>2.93</v>
      </c>
      <c r="X2429">
        <v>0.57999999999999996</v>
      </c>
      <c r="Y2429">
        <v>1.33</v>
      </c>
      <c r="Z2429">
        <v>0.1</v>
      </c>
      <c r="AA2429">
        <v>4.38</v>
      </c>
      <c r="AB2429">
        <v>3.06</v>
      </c>
      <c r="AC2429">
        <v>2.11</v>
      </c>
      <c r="AD2429">
        <v>14.66</v>
      </c>
      <c r="AE2429">
        <v>4.2</v>
      </c>
      <c r="AF2429">
        <v>4.751666666666666</v>
      </c>
      <c r="AG2429" t="str">
        <f>HYPERLINK("https://finance.naver.com/item/fchart.naver?code=024950", "삼천리자전거 차트보기")</f>
        <v>삼천리자전거 차트보기</v>
      </c>
    </row>
    <row r="2430" spans="1:33" x14ac:dyDescent="0.3">
      <c r="A2430" t="s">
        <v>9747</v>
      </c>
      <c r="B2430" t="s">
        <v>55</v>
      </c>
      <c r="C2430" t="s">
        <v>9748</v>
      </c>
      <c r="D2430">
        <v>217830.14</v>
      </c>
      <c r="E2430" t="s">
        <v>9749</v>
      </c>
      <c r="F2430">
        <v>22.56</v>
      </c>
      <c r="G2430">
        <v>0.37000000476837158</v>
      </c>
      <c r="H2430">
        <v>62</v>
      </c>
      <c r="I2430">
        <v>3.5699999332427979</v>
      </c>
      <c r="J2430" t="s">
        <v>9750</v>
      </c>
      <c r="K2430">
        <v>2215</v>
      </c>
      <c r="L2430">
        <v>1399</v>
      </c>
      <c r="M2430">
        <v>-36.840000000000003</v>
      </c>
      <c r="N2430">
        <v>-2.98</v>
      </c>
      <c r="O2430">
        <v>-4.7</v>
      </c>
      <c r="P2430">
        <v>-10.63</v>
      </c>
      <c r="Q2430">
        <v>-13.21</v>
      </c>
      <c r="R2430">
        <v>-19.66</v>
      </c>
      <c r="S2430">
        <v>10.66</v>
      </c>
      <c r="T2430">
        <v>0.97</v>
      </c>
      <c r="U2430">
        <v>1.1299999999999999</v>
      </c>
      <c r="V2430">
        <v>2.21</v>
      </c>
      <c r="W2430">
        <v>3.01</v>
      </c>
      <c r="X2430">
        <v>2.27</v>
      </c>
      <c r="Y2430">
        <v>3.11</v>
      </c>
      <c r="Z2430">
        <v>3.07</v>
      </c>
      <c r="AA2430">
        <v>4.16</v>
      </c>
      <c r="AB2430">
        <v>4.8099999999999996</v>
      </c>
      <c r="AC2430">
        <v>4.3899999999999997</v>
      </c>
      <c r="AD2430">
        <v>8.66</v>
      </c>
      <c r="AE2430">
        <v>3.43</v>
      </c>
      <c r="AF2430">
        <v>4.753333333333333</v>
      </c>
      <c r="AG2430" t="str">
        <f>HYPERLINK("https://finance.naver.com/item/fchart.naver?code=060540", "에스에이티 차트보기")</f>
        <v>에스에이티 차트보기</v>
      </c>
    </row>
    <row r="2431" spans="1:33" x14ac:dyDescent="0.3">
      <c r="A2431" t="s">
        <v>9751</v>
      </c>
      <c r="B2431" t="s">
        <v>55</v>
      </c>
      <c r="C2431" t="s">
        <v>9752</v>
      </c>
      <c r="D2431">
        <v>116987.81</v>
      </c>
      <c r="E2431" t="s">
        <v>9753</v>
      </c>
      <c r="F2431">
        <v>0.91</v>
      </c>
      <c r="G2431">
        <v>0.40999999642372131</v>
      </c>
      <c r="H2431">
        <v>1491</v>
      </c>
      <c r="I2431">
        <v>0</v>
      </c>
      <c r="J2431" t="s">
        <v>9754</v>
      </c>
      <c r="K2431">
        <v>1500</v>
      </c>
      <c r="L2431">
        <v>1360</v>
      </c>
      <c r="M2431">
        <v>-9.33</v>
      </c>
      <c r="N2431">
        <v>-20.93</v>
      </c>
      <c r="O2431">
        <v>25.09</v>
      </c>
      <c r="P2431">
        <v>-2.98</v>
      </c>
      <c r="Q2431">
        <v>-8.65</v>
      </c>
      <c r="R2431">
        <v>1.87</v>
      </c>
      <c r="S2431">
        <v>-7.17</v>
      </c>
      <c r="T2431">
        <v>3.25</v>
      </c>
      <c r="U2431">
        <v>2.15</v>
      </c>
      <c r="V2431">
        <v>1.29</v>
      </c>
      <c r="W2431">
        <v>3.37</v>
      </c>
      <c r="X2431">
        <v>1.84</v>
      </c>
      <c r="Y2431">
        <v>1.58</v>
      </c>
      <c r="Z2431">
        <v>6.44</v>
      </c>
      <c r="AA2431">
        <v>11.67</v>
      </c>
      <c r="AB2431">
        <v>2.31</v>
      </c>
      <c r="AC2431">
        <v>2.57</v>
      </c>
      <c r="AD2431">
        <v>1.02</v>
      </c>
      <c r="AE2431">
        <v>4.54</v>
      </c>
      <c r="AF2431">
        <v>4.7583333333333329</v>
      </c>
      <c r="AG2431" t="str">
        <f>HYPERLINK("https://finance.naver.com/item/fchart.naver?code=154040", "다산솔루에타 차트보기")</f>
        <v>다산솔루에타 차트보기</v>
      </c>
    </row>
    <row r="2432" spans="1:33" x14ac:dyDescent="0.3">
      <c r="A2432" t="s">
        <v>9755</v>
      </c>
      <c r="B2432" t="s">
        <v>55</v>
      </c>
      <c r="C2432" t="s">
        <v>9756</v>
      </c>
      <c r="D2432">
        <v>65016.43</v>
      </c>
      <c r="E2432" t="s">
        <v>9757</v>
      </c>
      <c r="F2432">
        <v>9.92</v>
      </c>
      <c r="G2432">
        <v>1.6499999761581421</v>
      </c>
      <c r="H2432">
        <v>90</v>
      </c>
      <c r="I2432">
        <v>0</v>
      </c>
      <c r="J2432" t="s">
        <v>9758</v>
      </c>
      <c r="K2432">
        <v>995</v>
      </c>
      <c r="L2432">
        <v>893</v>
      </c>
      <c r="M2432">
        <v>-10.25</v>
      </c>
      <c r="N2432">
        <v>0.56000000000000005</v>
      </c>
      <c r="O2432">
        <v>6.38</v>
      </c>
      <c r="P2432">
        <v>-1.99</v>
      </c>
      <c r="Q2432">
        <v>-3.92</v>
      </c>
      <c r="R2432">
        <v>-8.7899999999999991</v>
      </c>
      <c r="S2432">
        <v>-4.22</v>
      </c>
      <c r="T2432">
        <v>1.31</v>
      </c>
      <c r="U2432">
        <v>1.1299999999999999</v>
      </c>
      <c r="V2432">
        <v>0.76</v>
      </c>
      <c r="W2432">
        <v>2.87</v>
      </c>
      <c r="X2432">
        <v>0.59</v>
      </c>
      <c r="Y2432">
        <v>1.18</v>
      </c>
      <c r="Z2432">
        <v>0.43</v>
      </c>
      <c r="AA2432">
        <v>5.65</v>
      </c>
      <c r="AB2432">
        <v>2.62</v>
      </c>
      <c r="AC2432">
        <v>1.37</v>
      </c>
      <c r="AD2432">
        <v>14.9</v>
      </c>
      <c r="AE2432">
        <v>3.58</v>
      </c>
      <c r="AF2432">
        <v>4.7583333333333329</v>
      </c>
      <c r="AG2432" t="str">
        <f>HYPERLINK("https://finance.naver.com/item/fchart.naver?code=113810", "디젠스 차트보기")</f>
        <v>디젠스 차트보기</v>
      </c>
    </row>
    <row r="2433" spans="1:33" x14ac:dyDescent="0.3">
      <c r="A2433" t="s">
        <v>9759</v>
      </c>
      <c r="B2433" t="s">
        <v>55</v>
      </c>
      <c r="C2433" t="s">
        <v>9760</v>
      </c>
      <c r="D2433">
        <v>3689688.71</v>
      </c>
      <c r="E2433" t="s">
        <v>9761</v>
      </c>
      <c r="F2433">
        <v>0</v>
      </c>
      <c r="G2433">
        <v>22.829999923706051</v>
      </c>
      <c r="H2433">
        <v>0</v>
      </c>
      <c r="I2433">
        <v>0</v>
      </c>
      <c r="J2433" t="s">
        <v>9762</v>
      </c>
      <c r="K2433">
        <v>9870</v>
      </c>
      <c r="L2433">
        <v>21850</v>
      </c>
      <c r="M2433">
        <v>121.38</v>
      </c>
      <c r="N2433">
        <v>31.63</v>
      </c>
      <c r="O2433">
        <v>119.38</v>
      </c>
      <c r="P2433">
        <v>-0.4</v>
      </c>
      <c r="Q2433">
        <v>-5.36</v>
      </c>
      <c r="R2433">
        <v>11.9</v>
      </c>
      <c r="S2433">
        <v>-19.64</v>
      </c>
      <c r="T2433">
        <v>15.98</v>
      </c>
      <c r="U2433">
        <v>8.3699999999999992</v>
      </c>
      <c r="V2433">
        <v>2.21</v>
      </c>
      <c r="W2433">
        <v>3.61</v>
      </c>
      <c r="X2433">
        <v>4.8600000000000003</v>
      </c>
      <c r="Y2433">
        <v>2.39</v>
      </c>
      <c r="Z2433">
        <v>1.98</v>
      </c>
      <c r="AA2433">
        <v>14.26</v>
      </c>
      <c r="AB2433">
        <v>0.18</v>
      </c>
      <c r="AC2433">
        <v>1.48</v>
      </c>
      <c r="AD2433">
        <v>2.4500000000000002</v>
      </c>
      <c r="AE2433">
        <v>8.2200000000000006</v>
      </c>
      <c r="AF2433">
        <v>4.7616666666666667</v>
      </c>
      <c r="AG2433" t="str">
        <f>HYPERLINK("https://finance.naver.com/item/fchart.naver?code=007390", "네이처셀 차트보기")</f>
        <v>네이처셀 차트보기</v>
      </c>
    </row>
    <row r="2434" spans="1:33" x14ac:dyDescent="0.3">
      <c r="A2434" t="s">
        <v>9763</v>
      </c>
      <c r="B2434" t="s">
        <v>55</v>
      </c>
      <c r="C2434" t="s">
        <v>9764</v>
      </c>
      <c r="D2434">
        <v>30396.71</v>
      </c>
      <c r="E2434" t="s">
        <v>9765</v>
      </c>
      <c r="F2434">
        <v>0</v>
      </c>
      <c r="G2434">
        <v>3.470000028610229</v>
      </c>
      <c r="H2434">
        <v>0</v>
      </c>
      <c r="I2434">
        <v>0</v>
      </c>
      <c r="J2434" t="s">
        <v>9766</v>
      </c>
      <c r="K2434">
        <v>2485</v>
      </c>
      <c r="L2434">
        <v>1385</v>
      </c>
      <c r="M2434">
        <v>-44.27</v>
      </c>
      <c r="N2434">
        <v>-20.81</v>
      </c>
      <c r="O2434">
        <v>-20.23</v>
      </c>
      <c r="P2434">
        <v>8.76</v>
      </c>
      <c r="Q2434">
        <v>-18.63</v>
      </c>
      <c r="R2434">
        <v>-4.97</v>
      </c>
      <c r="S2434">
        <v>-8.5399999999999991</v>
      </c>
      <c r="T2434">
        <v>4.3499999999999996</v>
      </c>
      <c r="U2434">
        <v>1.63</v>
      </c>
      <c r="V2434">
        <v>2.5099999999999998</v>
      </c>
      <c r="W2434">
        <v>3.9</v>
      </c>
      <c r="X2434">
        <v>2.76</v>
      </c>
      <c r="Y2434">
        <v>6.43</v>
      </c>
      <c r="Z2434">
        <v>4.78</v>
      </c>
      <c r="AA2434">
        <v>12.41</v>
      </c>
      <c r="AB2434">
        <v>3.49</v>
      </c>
      <c r="AC2434">
        <v>4.78</v>
      </c>
      <c r="AD2434">
        <v>1.8</v>
      </c>
      <c r="AE2434">
        <v>1.33</v>
      </c>
      <c r="AF2434">
        <v>4.7650000000000006</v>
      </c>
      <c r="AG2434" t="str">
        <f>HYPERLINK("https://finance.naver.com/item/fchart.naver?code=405000", "플라즈맵 차트보기")</f>
        <v>플라즈맵 차트보기</v>
      </c>
    </row>
    <row r="2435" spans="1:33" x14ac:dyDescent="0.3">
      <c r="A2435" t="s">
        <v>9767</v>
      </c>
      <c r="B2435" t="s">
        <v>55</v>
      </c>
      <c r="C2435" t="s">
        <v>9768</v>
      </c>
      <c r="D2435">
        <v>484168.48</v>
      </c>
      <c r="E2435" t="s">
        <v>9769</v>
      </c>
      <c r="F2435">
        <v>13.09</v>
      </c>
      <c r="G2435">
        <v>1.919999957084656</v>
      </c>
      <c r="H2435">
        <v>374</v>
      </c>
      <c r="I2435">
        <v>0</v>
      </c>
      <c r="J2435" t="s">
        <v>9770</v>
      </c>
      <c r="K2435">
        <v>7250</v>
      </c>
      <c r="L2435">
        <v>4895</v>
      </c>
      <c r="M2435">
        <v>-32.479999999999997</v>
      </c>
      <c r="N2435">
        <v>10</v>
      </c>
      <c r="O2435">
        <v>-11.99</v>
      </c>
      <c r="P2435">
        <v>0</v>
      </c>
      <c r="Q2435">
        <v>-11.66</v>
      </c>
      <c r="R2435">
        <v>-14.01</v>
      </c>
      <c r="S2435">
        <v>-11.7</v>
      </c>
      <c r="T2435">
        <v>12.89</v>
      </c>
      <c r="U2435">
        <v>1.5</v>
      </c>
      <c r="V2435">
        <v>1.62</v>
      </c>
      <c r="W2435">
        <v>2.95</v>
      </c>
      <c r="X2435">
        <v>2.15</v>
      </c>
      <c r="Y2435">
        <v>1.25</v>
      </c>
      <c r="Z2435">
        <v>0.78</v>
      </c>
      <c r="AA2435">
        <v>7.99</v>
      </c>
      <c r="AB2435">
        <v>0</v>
      </c>
      <c r="AC2435">
        <v>3.95</v>
      </c>
      <c r="AD2435">
        <v>6.52</v>
      </c>
      <c r="AE2435">
        <v>9.36</v>
      </c>
      <c r="AF2435">
        <v>4.7666666666666666</v>
      </c>
      <c r="AG2435" t="str">
        <f>HYPERLINK("https://finance.naver.com/item/fchart.naver?code=104620", "노랑풍선 차트보기")</f>
        <v>노랑풍선 차트보기</v>
      </c>
    </row>
    <row r="2436" spans="1:33" x14ac:dyDescent="0.3">
      <c r="A2436" t="s">
        <v>9771</v>
      </c>
      <c r="B2436" t="s">
        <v>34</v>
      </c>
      <c r="C2436" t="s">
        <v>9772</v>
      </c>
      <c r="D2436">
        <v>6651.14</v>
      </c>
      <c r="E2436" t="s">
        <v>9773</v>
      </c>
      <c r="F2436">
        <v>0</v>
      </c>
      <c r="G2436">
        <v>0</v>
      </c>
      <c r="H2436">
        <v>0</v>
      </c>
      <c r="I2436">
        <v>3.339999914169312</v>
      </c>
      <c r="J2436" t="s">
        <v>9774</v>
      </c>
      <c r="K2436">
        <v>27300</v>
      </c>
      <c r="L2436">
        <v>20950</v>
      </c>
      <c r="M2436">
        <v>-23.26</v>
      </c>
      <c r="N2436">
        <v>-6.68</v>
      </c>
      <c r="O2436">
        <v>-4.26</v>
      </c>
      <c r="P2436">
        <v>1.3</v>
      </c>
      <c r="Q2436">
        <v>-6.28</v>
      </c>
      <c r="R2436">
        <v>-4.71</v>
      </c>
      <c r="S2436">
        <v>-6.93</v>
      </c>
      <c r="T2436">
        <v>1.17</v>
      </c>
      <c r="U2436">
        <v>0.87</v>
      </c>
      <c r="V2436">
        <v>0.8</v>
      </c>
      <c r="W2436">
        <v>2.5299999999999998</v>
      </c>
      <c r="X2436">
        <v>0.71</v>
      </c>
      <c r="Y2436">
        <v>0.95</v>
      </c>
      <c r="Z2436">
        <v>5.71</v>
      </c>
      <c r="AA2436">
        <v>4.9000000000000004</v>
      </c>
      <c r="AB2436">
        <v>1.62</v>
      </c>
      <c r="AC2436">
        <v>2.48</v>
      </c>
      <c r="AD2436">
        <v>6.63</v>
      </c>
      <c r="AE2436">
        <v>7.29</v>
      </c>
      <c r="AF2436">
        <v>4.7716666666666674</v>
      </c>
      <c r="AG2436" t="str">
        <f>HYPERLINK("https://finance.naver.com/item/fchart.naver?code=28513K", "SK케미칼우 차트보기")</f>
        <v>SK케미칼우 차트보기</v>
      </c>
    </row>
    <row r="2437" spans="1:33" x14ac:dyDescent="0.3">
      <c r="A2437" t="s">
        <v>9775</v>
      </c>
      <c r="B2437" t="s">
        <v>55</v>
      </c>
      <c r="C2437" t="s">
        <v>9776</v>
      </c>
      <c r="D2437">
        <v>47291.86</v>
      </c>
      <c r="E2437" t="s">
        <v>9777</v>
      </c>
      <c r="F2437">
        <v>12.27</v>
      </c>
      <c r="G2437">
        <v>0.61000001430511475</v>
      </c>
      <c r="H2437">
        <v>66</v>
      </c>
      <c r="I2437">
        <v>2.220000028610229</v>
      </c>
      <c r="J2437" t="s">
        <v>9778</v>
      </c>
      <c r="K2437">
        <v>896</v>
      </c>
      <c r="L2437">
        <v>810</v>
      </c>
      <c r="M2437">
        <v>-9.6</v>
      </c>
      <c r="N2437">
        <v>-3.11</v>
      </c>
      <c r="O2437">
        <v>4.6900000000000004</v>
      </c>
      <c r="P2437">
        <v>5.54</v>
      </c>
      <c r="Q2437">
        <v>-7.52</v>
      </c>
      <c r="R2437">
        <v>-3.4</v>
      </c>
      <c r="S2437">
        <v>-6.67</v>
      </c>
      <c r="T2437">
        <v>1.1200000000000001</v>
      </c>
      <c r="U2437">
        <v>1.63</v>
      </c>
      <c r="V2437">
        <v>1.86</v>
      </c>
      <c r="W2437">
        <v>2.74</v>
      </c>
      <c r="X2437">
        <v>0.69</v>
      </c>
      <c r="Y2437">
        <v>0.54</v>
      </c>
      <c r="Z2437">
        <v>2.78</v>
      </c>
      <c r="AA2437">
        <v>2.88</v>
      </c>
      <c r="AB2437">
        <v>2.98</v>
      </c>
      <c r="AC2437">
        <v>2.74</v>
      </c>
      <c r="AD2437">
        <v>4.93</v>
      </c>
      <c r="AE2437">
        <v>12.35</v>
      </c>
      <c r="AF2437">
        <v>4.7766666666666673</v>
      </c>
      <c r="AG2437" t="str">
        <f>HYPERLINK("https://finance.naver.com/item/fchart.naver?code=033830", "티비씨 차트보기")</f>
        <v>티비씨 차트보기</v>
      </c>
    </row>
    <row r="2438" spans="1:33" x14ac:dyDescent="0.3">
      <c r="A2438" t="s">
        <v>9779</v>
      </c>
      <c r="B2438" t="s">
        <v>34</v>
      </c>
      <c r="C2438" t="s">
        <v>9780</v>
      </c>
      <c r="D2438">
        <v>311921</v>
      </c>
      <c r="E2438" t="s">
        <v>9781</v>
      </c>
      <c r="F2438">
        <v>0</v>
      </c>
      <c r="G2438">
        <v>2.2699999809265141</v>
      </c>
      <c r="H2438">
        <v>0</v>
      </c>
      <c r="I2438">
        <v>0</v>
      </c>
      <c r="J2438" t="s">
        <v>9782</v>
      </c>
      <c r="K2438">
        <v>77200</v>
      </c>
      <c r="L2438">
        <v>111900</v>
      </c>
      <c r="M2438">
        <v>44.95</v>
      </c>
      <c r="N2438">
        <v>7.08</v>
      </c>
      <c r="O2438">
        <v>9.8000000000000007</v>
      </c>
      <c r="P2438">
        <v>-0.99</v>
      </c>
      <c r="Q2438">
        <v>-14.08</v>
      </c>
      <c r="R2438">
        <v>25</v>
      </c>
      <c r="S2438">
        <v>28.28</v>
      </c>
      <c r="T2438">
        <v>4.3</v>
      </c>
      <c r="U2438">
        <v>2.79</v>
      </c>
      <c r="V2438">
        <v>3</v>
      </c>
      <c r="W2438">
        <v>3.88</v>
      </c>
      <c r="X2438">
        <v>3.14</v>
      </c>
      <c r="Y2438">
        <v>2.44</v>
      </c>
      <c r="Z2438">
        <v>1.65</v>
      </c>
      <c r="AA2438">
        <v>3.51</v>
      </c>
      <c r="AB2438">
        <v>0.33</v>
      </c>
      <c r="AC2438">
        <v>3.63</v>
      </c>
      <c r="AD2438">
        <v>7.96</v>
      </c>
      <c r="AE2438">
        <v>11.59</v>
      </c>
      <c r="AF2438">
        <v>4.7783333333333333</v>
      </c>
      <c r="AG2438" t="str">
        <f>HYPERLINK("https://finance.naver.com/item/fchart.naver?code=010620", "HD현대미포 차트보기")</f>
        <v>HD현대미포 차트보기</v>
      </c>
    </row>
    <row r="2439" spans="1:33" x14ac:dyDescent="0.3">
      <c r="A2439" t="s">
        <v>9783</v>
      </c>
      <c r="B2439" t="s">
        <v>34</v>
      </c>
      <c r="C2439" t="s">
        <v>9784</v>
      </c>
      <c r="D2439">
        <v>12574.86</v>
      </c>
      <c r="E2439" t="s">
        <v>9785</v>
      </c>
      <c r="F2439">
        <v>6.54</v>
      </c>
      <c r="G2439">
        <v>0.60000002384185791</v>
      </c>
      <c r="H2439">
        <v>6579</v>
      </c>
      <c r="I2439">
        <v>3.720000028610229</v>
      </c>
      <c r="J2439" t="s">
        <v>9786</v>
      </c>
      <c r="K2439">
        <v>47100</v>
      </c>
      <c r="L2439">
        <v>43050</v>
      </c>
      <c r="M2439">
        <v>-8.6</v>
      </c>
      <c r="N2439">
        <v>-4.4400000000000004</v>
      </c>
      <c r="O2439">
        <v>-1.08</v>
      </c>
      <c r="P2439">
        <v>6.61</v>
      </c>
      <c r="Q2439">
        <v>4.95</v>
      </c>
      <c r="R2439">
        <v>-13.9</v>
      </c>
      <c r="S2439">
        <v>8.25</v>
      </c>
      <c r="T2439">
        <v>1.9</v>
      </c>
      <c r="U2439">
        <v>0.96</v>
      </c>
      <c r="V2439">
        <v>2.64</v>
      </c>
      <c r="W2439">
        <v>3</v>
      </c>
      <c r="X2439">
        <v>1.06</v>
      </c>
      <c r="Y2439">
        <v>1.03</v>
      </c>
      <c r="Z2439">
        <v>2.34</v>
      </c>
      <c r="AA2439">
        <v>1.1299999999999999</v>
      </c>
      <c r="AB2439">
        <v>2.5</v>
      </c>
      <c r="AC2439">
        <v>1.65</v>
      </c>
      <c r="AD2439">
        <v>13.11</v>
      </c>
      <c r="AE2439">
        <v>8.01</v>
      </c>
      <c r="AF2439">
        <v>4.7899999999999991</v>
      </c>
      <c r="AG2439" t="str">
        <f>HYPERLINK("https://finance.naver.com/item/fchart.naver?code=064960", "SNT모티브 차트보기")</f>
        <v>SNT모티브 차트보기</v>
      </c>
    </row>
    <row r="2440" spans="1:33" x14ac:dyDescent="0.3">
      <c r="A2440" t="s">
        <v>9787</v>
      </c>
      <c r="B2440" t="s">
        <v>55</v>
      </c>
      <c r="C2440" t="s">
        <v>9788</v>
      </c>
      <c r="D2440">
        <v>87091.81</v>
      </c>
      <c r="E2440" t="s">
        <v>9789</v>
      </c>
      <c r="F2440">
        <v>11.32</v>
      </c>
      <c r="G2440">
        <v>1.360000014305115</v>
      </c>
      <c r="H2440">
        <v>605</v>
      </c>
      <c r="I2440">
        <v>0</v>
      </c>
      <c r="J2440" t="s">
        <v>9790</v>
      </c>
      <c r="K2440">
        <v>18000</v>
      </c>
      <c r="L2440">
        <v>6850</v>
      </c>
      <c r="M2440">
        <v>-61.94</v>
      </c>
      <c r="N2440">
        <v>-7.93</v>
      </c>
      <c r="O2440">
        <v>-19.2</v>
      </c>
      <c r="P2440">
        <v>1.91</v>
      </c>
      <c r="Q2440">
        <v>-29.64</v>
      </c>
      <c r="R2440">
        <v>-28.9</v>
      </c>
      <c r="S2440">
        <v>5.2</v>
      </c>
      <c r="T2440">
        <v>2.35</v>
      </c>
      <c r="U2440">
        <v>3.64</v>
      </c>
      <c r="V2440">
        <v>2.69</v>
      </c>
      <c r="W2440">
        <v>5.46</v>
      </c>
      <c r="X2440">
        <v>2.34</v>
      </c>
      <c r="Y2440">
        <v>3.21</v>
      </c>
      <c r="Z2440">
        <v>3.37</v>
      </c>
      <c r="AA2440">
        <v>5.27</v>
      </c>
      <c r="AB2440">
        <v>0.71</v>
      </c>
      <c r="AC2440">
        <v>5.43</v>
      </c>
      <c r="AD2440">
        <v>12.35</v>
      </c>
      <c r="AE2440">
        <v>1.62</v>
      </c>
      <c r="AF2440">
        <v>4.791666666666667</v>
      </c>
      <c r="AG2440" t="str">
        <f>HYPERLINK("https://finance.naver.com/item/fchart.naver?code=239890", "피엔에이치테크 차트보기")</f>
        <v>피엔에이치테크 차트보기</v>
      </c>
    </row>
    <row r="2441" spans="1:33" x14ac:dyDescent="0.3">
      <c r="A2441" t="s">
        <v>9791</v>
      </c>
      <c r="B2441" t="s">
        <v>55</v>
      </c>
      <c r="C2441" t="s">
        <v>9792</v>
      </c>
      <c r="D2441">
        <v>67364.95</v>
      </c>
      <c r="E2441" t="s">
        <v>9793</v>
      </c>
      <c r="F2441">
        <v>0</v>
      </c>
      <c r="G2441">
        <v>0.46000000834465032</v>
      </c>
      <c r="H2441">
        <v>0</v>
      </c>
      <c r="I2441">
        <v>0</v>
      </c>
      <c r="J2441" t="s">
        <v>9794</v>
      </c>
      <c r="K2441">
        <v>1002</v>
      </c>
      <c r="L2441">
        <v>647</v>
      </c>
      <c r="M2441">
        <v>-35.43</v>
      </c>
      <c r="N2441">
        <v>-3</v>
      </c>
      <c r="O2441">
        <v>-16.670000000000002</v>
      </c>
      <c r="P2441">
        <v>-8.59</v>
      </c>
      <c r="Q2441">
        <v>1.8</v>
      </c>
      <c r="R2441">
        <v>-10.99</v>
      </c>
      <c r="S2441">
        <v>-6.73</v>
      </c>
      <c r="T2441">
        <v>2.19</v>
      </c>
      <c r="U2441">
        <v>2.42</v>
      </c>
      <c r="V2441">
        <v>2.29</v>
      </c>
      <c r="W2441">
        <v>2.97</v>
      </c>
      <c r="X2441">
        <v>0.85</v>
      </c>
      <c r="Y2441">
        <v>2.0699999999999998</v>
      </c>
      <c r="Z2441">
        <v>1.37</v>
      </c>
      <c r="AA2441">
        <v>6.89</v>
      </c>
      <c r="AB2441">
        <v>3.75</v>
      </c>
      <c r="AC2441">
        <v>0.61</v>
      </c>
      <c r="AD2441">
        <v>12.93</v>
      </c>
      <c r="AE2441">
        <v>3.25</v>
      </c>
      <c r="AF2441">
        <v>4.8</v>
      </c>
      <c r="AG2441" t="str">
        <f>HYPERLINK("https://finance.naver.com/item/fchart.naver?code=123010", "아이윈플러스 차트보기")</f>
        <v>아이윈플러스 차트보기</v>
      </c>
    </row>
    <row r="2442" spans="1:33" x14ac:dyDescent="0.3">
      <c r="A2442" t="s">
        <v>9795</v>
      </c>
      <c r="B2442" t="s">
        <v>34</v>
      </c>
      <c r="C2442" t="s">
        <v>9796</v>
      </c>
      <c r="D2442">
        <v>1806661</v>
      </c>
      <c r="E2442" t="s">
        <v>9797</v>
      </c>
      <c r="F2442">
        <v>12.74</v>
      </c>
      <c r="G2442">
        <v>2.619999885559082</v>
      </c>
      <c r="H2442">
        <v>142</v>
      </c>
      <c r="I2442">
        <v>0</v>
      </c>
      <c r="J2442" t="s">
        <v>9798</v>
      </c>
      <c r="K2442">
        <v>2500</v>
      </c>
      <c r="L2442">
        <v>1809</v>
      </c>
      <c r="M2442">
        <v>-27.64</v>
      </c>
      <c r="N2442">
        <v>-3.67</v>
      </c>
      <c r="O2442">
        <v>-17.93</v>
      </c>
      <c r="P2442">
        <v>13.13</v>
      </c>
      <c r="Q2442">
        <v>-19.43</v>
      </c>
      <c r="R2442">
        <v>-6.94</v>
      </c>
      <c r="S2442">
        <v>9.26</v>
      </c>
      <c r="T2442">
        <v>2.54</v>
      </c>
      <c r="U2442">
        <v>1.27</v>
      </c>
      <c r="V2442">
        <v>3.24</v>
      </c>
      <c r="W2442">
        <v>4.75</v>
      </c>
      <c r="X2442">
        <v>3.16</v>
      </c>
      <c r="Y2442">
        <v>3.17</v>
      </c>
      <c r="Z2442">
        <v>1.44</v>
      </c>
      <c r="AA2442">
        <v>14.12</v>
      </c>
      <c r="AB2442">
        <v>4.05</v>
      </c>
      <c r="AC2442">
        <v>4.09</v>
      </c>
      <c r="AD2442">
        <v>2.2000000000000002</v>
      </c>
      <c r="AE2442">
        <v>2.92</v>
      </c>
      <c r="AF2442">
        <v>4.8033333333333337</v>
      </c>
      <c r="AG2442" t="str">
        <f>HYPERLINK("https://finance.naver.com/item/fchart.naver?code=003280", "흥아해운 차트보기")</f>
        <v>흥아해운 차트보기</v>
      </c>
    </row>
    <row r="2443" spans="1:33" x14ac:dyDescent="0.3">
      <c r="A2443" t="s">
        <v>9799</v>
      </c>
      <c r="B2443" t="s">
        <v>55</v>
      </c>
      <c r="C2443" t="s">
        <v>9800</v>
      </c>
      <c r="D2443">
        <v>70169.05</v>
      </c>
      <c r="E2443" t="s">
        <v>9801</v>
      </c>
      <c r="F2443">
        <v>0</v>
      </c>
      <c r="G2443">
        <v>1.7599999904632571</v>
      </c>
      <c r="H2443">
        <v>0</v>
      </c>
      <c r="I2443">
        <v>0</v>
      </c>
      <c r="J2443" t="s">
        <v>9802</v>
      </c>
      <c r="K2443">
        <v>1212</v>
      </c>
      <c r="L2443">
        <v>817</v>
      </c>
      <c r="M2443">
        <v>-32.590000000000003</v>
      </c>
      <c r="N2443">
        <v>-5.88</v>
      </c>
      <c r="O2443">
        <v>-15.66</v>
      </c>
      <c r="P2443">
        <v>33.130000000000003</v>
      </c>
      <c r="Q2443">
        <v>-12.87</v>
      </c>
      <c r="R2443">
        <v>-4.6500000000000004</v>
      </c>
      <c r="S2443">
        <v>-12.1</v>
      </c>
      <c r="T2443">
        <v>3.76</v>
      </c>
      <c r="U2443">
        <v>3.51</v>
      </c>
      <c r="V2443">
        <v>7.36</v>
      </c>
      <c r="W2443">
        <v>3.66</v>
      </c>
      <c r="X2443">
        <v>1.66</v>
      </c>
      <c r="Y2443">
        <v>1.01</v>
      </c>
      <c r="Z2443">
        <v>1.56</v>
      </c>
      <c r="AA2443">
        <v>4.46</v>
      </c>
      <c r="AB2443">
        <v>4.5</v>
      </c>
      <c r="AC2443">
        <v>3.52</v>
      </c>
      <c r="AD2443">
        <v>2.8</v>
      </c>
      <c r="AE2443">
        <v>11.98</v>
      </c>
      <c r="AF2443">
        <v>4.8033333333333337</v>
      </c>
      <c r="AG2443" t="str">
        <f>HYPERLINK("https://finance.naver.com/item/fchart.naver?code=084440", "유비온 차트보기")</f>
        <v>유비온 차트보기</v>
      </c>
    </row>
    <row r="2444" spans="1:33" x14ac:dyDescent="0.3">
      <c r="A2444" t="s">
        <v>9803</v>
      </c>
      <c r="B2444" t="s">
        <v>55</v>
      </c>
      <c r="C2444" t="s">
        <v>9804</v>
      </c>
      <c r="D2444">
        <v>10842.81</v>
      </c>
      <c r="E2444" t="s">
        <v>9805</v>
      </c>
      <c r="F2444">
        <v>4.54</v>
      </c>
      <c r="G2444">
        <v>0.34999999403953552</v>
      </c>
      <c r="H2444">
        <v>582</v>
      </c>
      <c r="I2444">
        <v>7.5799999237060547</v>
      </c>
      <c r="J2444" t="s">
        <v>9806</v>
      </c>
      <c r="K2444">
        <v>3670</v>
      </c>
      <c r="L2444">
        <v>2640</v>
      </c>
      <c r="M2444">
        <v>-28.07</v>
      </c>
      <c r="N2444">
        <v>-3.3</v>
      </c>
      <c r="O2444">
        <v>-14.92</v>
      </c>
      <c r="P2444">
        <v>-8.59</v>
      </c>
      <c r="Q2444">
        <v>-5.39</v>
      </c>
      <c r="R2444">
        <v>0.84</v>
      </c>
      <c r="S2444">
        <v>-1.23</v>
      </c>
      <c r="T2444">
        <v>1.6</v>
      </c>
      <c r="U2444">
        <v>1.04</v>
      </c>
      <c r="V2444">
        <v>1.27</v>
      </c>
      <c r="W2444">
        <v>1.64</v>
      </c>
      <c r="X2444">
        <v>0.71</v>
      </c>
      <c r="Y2444">
        <v>1.03</v>
      </c>
      <c r="Z2444">
        <v>2.06</v>
      </c>
      <c r="AA2444">
        <v>14.35</v>
      </c>
      <c r="AB2444">
        <v>6.76</v>
      </c>
      <c r="AC2444">
        <v>3.29</v>
      </c>
      <c r="AD2444">
        <v>1.18</v>
      </c>
      <c r="AE2444">
        <v>1.19</v>
      </c>
      <c r="AF2444">
        <v>4.8050000000000006</v>
      </c>
      <c r="AG2444" t="str">
        <f>HYPERLINK("https://finance.naver.com/item/fchart.naver?code=093380", "풍강 차트보기")</f>
        <v>풍강 차트보기</v>
      </c>
    </row>
    <row r="2445" spans="1:33" x14ac:dyDescent="0.3">
      <c r="A2445" t="s">
        <v>9807</v>
      </c>
      <c r="B2445" t="s">
        <v>34</v>
      </c>
      <c r="C2445" t="s">
        <v>9808</v>
      </c>
      <c r="D2445">
        <v>46654.1</v>
      </c>
      <c r="E2445" t="s">
        <v>9809</v>
      </c>
      <c r="F2445">
        <v>3.4</v>
      </c>
      <c r="G2445">
        <v>0.55000001192092896</v>
      </c>
      <c r="H2445">
        <v>12123</v>
      </c>
      <c r="I2445">
        <v>0.85000002384185791</v>
      </c>
      <c r="J2445" t="s">
        <v>9810</v>
      </c>
      <c r="K2445">
        <v>44000</v>
      </c>
      <c r="L2445">
        <v>41200</v>
      </c>
      <c r="M2445">
        <v>-6.36</v>
      </c>
      <c r="N2445">
        <v>-5.72</v>
      </c>
      <c r="O2445">
        <v>-11.41</v>
      </c>
      <c r="P2445">
        <v>-9.4499999999999993</v>
      </c>
      <c r="Q2445">
        <v>-14.22</v>
      </c>
      <c r="R2445">
        <v>-19.12</v>
      </c>
      <c r="S2445">
        <v>107.06</v>
      </c>
      <c r="T2445">
        <v>2.2599999999999998</v>
      </c>
      <c r="U2445">
        <v>3.04</v>
      </c>
      <c r="V2445">
        <v>1.67</v>
      </c>
      <c r="W2445">
        <v>4.5999999999999996</v>
      </c>
      <c r="X2445">
        <v>7.79</v>
      </c>
      <c r="Y2445">
        <v>9.42</v>
      </c>
      <c r="Z2445">
        <v>2.5299999999999998</v>
      </c>
      <c r="AA2445">
        <v>3.75</v>
      </c>
      <c r="AB2445">
        <v>5.66</v>
      </c>
      <c r="AC2445">
        <v>3.09</v>
      </c>
      <c r="AD2445">
        <v>2.4500000000000002</v>
      </c>
      <c r="AE2445">
        <v>11.37</v>
      </c>
      <c r="AF2445">
        <v>4.8083333333333336</v>
      </c>
      <c r="AG2445" t="str">
        <f>HYPERLINK("https://finance.naver.com/item/fchart.naver?code=003960", "사조대림 차트보기")</f>
        <v>사조대림 차트보기</v>
      </c>
    </row>
    <row r="2446" spans="1:33" x14ac:dyDescent="0.3">
      <c r="A2446" t="s">
        <v>9811</v>
      </c>
      <c r="B2446" t="s">
        <v>55</v>
      </c>
      <c r="C2446" t="s">
        <v>9812</v>
      </c>
      <c r="D2446">
        <v>38737.33</v>
      </c>
      <c r="E2446" t="s">
        <v>9813</v>
      </c>
      <c r="F2446">
        <v>18.350000000000001</v>
      </c>
      <c r="G2446">
        <v>1.139999985694885</v>
      </c>
      <c r="H2446">
        <v>272</v>
      </c>
      <c r="I2446">
        <v>0</v>
      </c>
      <c r="J2446" t="s">
        <v>9814</v>
      </c>
      <c r="K2446">
        <v>10790</v>
      </c>
      <c r="L2446">
        <v>4990</v>
      </c>
      <c r="M2446">
        <v>-53.75</v>
      </c>
      <c r="N2446">
        <v>-12.3</v>
      </c>
      <c r="O2446">
        <v>-17.309999999999999</v>
      </c>
      <c r="P2446">
        <v>-7.27</v>
      </c>
      <c r="Q2446">
        <v>-9.4700000000000006</v>
      </c>
      <c r="R2446">
        <v>-10.14</v>
      </c>
      <c r="S2446">
        <v>-4.26</v>
      </c>
      <c r="T2446">
        <v>2.72</v>
      </c>
      <c r="U2446">
        <v>1.38</v>
      </c>
      <c r="V2446">
        <v>1.87</v>
      </c>
      <c r="W2446">
        <v>5.15</v>
      </c>
      <c r="X2446">
        <v>2.99</v>
      </c>
      <c r="Y2446">
        <v>1.56</v>
      </c>
      <c r="Z2446">
        <v>4.5199999999999996</v>
      </c>
      <c r="AA2446">
        <v>12.54</v>
      </c>
      <c r="AB2446">
        <v>3.89</v>
      </c>
      <c r="AC2446">
        <v>1.84</v>
      </c>
      <c r="AD2446">
        <v>3.39</v>
      </c>
      <c r="AE2446">
        <v>2.73</v>
      </c>
      <c r="AF2446">
        <v>4.8183333333333334</v>
      </c>
      <c r="AG2446" t="str">
        <f>HYPERLINK("https://finance.naver.com/item/fchart.naver?code=159010", "아스플로 차트보기")</f>
        <v>아스플로 차트보기</v>
      </c>
    </row>
    <row r="2447" spans="1:33" x14ac:dyDescent="0.3">
      <c r="A2447" t="s">
        <v>9815</v>
      </c>
      <c r="B2447" t="s">
        <v>55</v>
      </c>
      <c r="C2447" t="s">
        <v>9816</v>
      </c>
      <c r="D2447">
        <v>86601.95</v>
      </c>
      <c r="E2447" t="s">
        <v>9817</v>
      </c>
      <c r="F2447">
        <v>0</v>
      </c>
      <c r="G2447">
        <v>2.130000114440918</v>
      </c>
      <c r="H2447">
        <v>0</v>
      </c>
      <c r="I2447">
        <v>0</v>
      </c>
      <c r="J2447" t="s">
        <v>9818</v>
      </c>
      <c r="K2447">
        <v>2720</v>
      </c>
      <c r="L2447">
        <v>1380</v>
      </c>
      <c r="M2447">
        <v>-49.26</v>
      </c>
      <c r="N2447">
        <v>-10.210000000000001</v>
      </c>
      <c r="O2447">
        <v>-11.16</v>
      </c>
      <c r="P2447">
        <v>3.7</v>
      </c>
      <c r="Q2447">
        <v>-4.4000000000000004</v>
      </c>
      <c r="R2447">
        <v>-20.14</v>
      </c>
      <c r="S2447">
        <v>-13.84</v>
      </c>
      <c r="T2447">
        <v>1.79</v>
      </c>
      <c r="U2447">
        <v>1.7</v>
      </c>
      <c r="V2447">
        <v>3.75</v>
      </c>
      <c r="W2447">
        <v>4.8</v>
      </c>
      <c r="X2447">
        <v>1.59</v>
      </c>
      <c r="Y2447">
        <v>6.59</v>
      </c>
      <c r="Z2447">
        <v>5.7</v>
      </c>
      <c r="AA2447">
        <v>6.56</v>
      </c>
      <c r="AB2447">
        <v>0.99</v>
      </c>
      <c r="AC2447">
        <v>0.92</v>
      </c>
      <c r="AD2447">
        <v>12.67</v>
      </c>
      <c r="AE2447">
        <v>2.1</v>
      </c>
      <c r="AF2447">
        <v>4.8233333333333333</v>
      </c>
      <c r="AG2447" t="str">
        <f>HYPERLINK("https://finance.naver.com/item/fchart.naver?code=066910", "손오공 차트보기")</f>
        <v>손오공 차트보기</v>
      </c>
    </row>
    <row r="2448" spans="1:33" x14ac:dyDescent="0.3">
      <c r="A2448" t="s">
        <v>9819</v>
      </c>
      <c r="B2448" t="s">
        <v>55</v>
      </c>
      <c r="C2448" t="s">
        <v>9820</v>
      </c>
      <c r="D2448">
        <v>29077.52</v>
      </c>
      <c r="E2448" t="s">
        <v>9821</v>
      </c>
      <c r="F2448">
        <v>0</v>
      </c>
      <c r="G2448">
        <v>1.669999957084656</v>
      </c>
      <c r="H2448">
        <v>0</v>
      </c>
      <c r="I2448">
        <v>0</v>
      </c>
      <c r="J2448" t="s">
        <v>9822</v>
      </c>
      <c r="K2448">
        <v>5980</v>
      </c>
      <c r="L2448">
        <v>3030</v>
      </c>
      <c r="M2448">
        <v>-49.33</v>
      </c>
      <c r="N2448">
        <v>-3.81</v>
      </c>
      <c r="O2448">
        <v>-22.01</v>
      </c>
      <c r="P2448">
        <v>12.02</v>
      </c>
      <c r="Q2448">
        <v>-6.99</v>
      </c>
      <c r="R2448">
        <v>-7.18</v>
      </c>
      <c r="S2448">
        <v>-27.84</v>
      </c>
      <c r="T2448">
        <v>1.87</v>
      </c>
      <c r="U2448">
        <v>2.94</v>
      </c>
      <c r="V2448">
        <v>4.38</v>
      </c>
      <c r="W2448">
        <v>4.74</v>
      </c>
      <c r="X2448">
        <v>1.84</v>
      </c>
      <c r="Y2448">
        <v>2.46</v>
      </c>
      <c r="Z2448">
        <v>2.04</v>
      </c>
      <c r="AA2448">
        <v>7.49</v>
      </c>
      <c r="AB2448">
        <v>2.74</v>
      </c>
      <c r="AC2448">
        <v>1.47</v>
      </c>
      <c r="AD2448">
        <v>3.9</v>
      </c>
      <c r="AE2448">
        <v>11.32</v>
      </c>
      <c r="AF2448">
        <v>4.8266666666666671</v>
      </c>
      <c r="AG2448" t="str">
        <f>HYPERLINK("https://finance.naver.com/item/fchart.naver?code=276040", "스코넥 차트보기")</f>
        <v>스코넥 차트보기</v>
      </c>
    </row>
    <row r="2449" spans="1:33" x14ac:dyDescent="0.3">
      <c r="A2449" t="s">
        <v>9823</v>
      </c>
      <c r="B2449" t="s">
        <v>55</v>
      </c>
      <c r="C2449" t="s">
        <v>9824</v>
      </c>
      <c r="D2449">
        <v>6141.19</v>
      </c>
      <c r="E2449" t="s">
        <v>9825</v>
      </c>
      <c r="F2449">
        <v>18.670000000000002</v>
      </c>
      <c r="G2449">
        <v>0.81999999284744263</v>
      </c>
      <c r="H2449">
        <v>420</v>
      </c>
      <c r="I2449">
        <v>0</v>
      </c>
      <c r="J2449" t="s">
        <v>9826</v>
      </c>
      <c r="K2449">
        <v>10980</v>
      </c>
      <c r="L2449">
        <v>7840</v>
      </c>
      <c r="M2449">
        <v>-28.6</v>
      </c>
      <c r="N2449">
        <v>-8.09</v>
      </c>
      <c r="O2449">
        <v>6.49</v>
      </c>
      <c r="P2449">
        <v>-8.99</v>
      </c>
      <c r="Q2449">
        <v>6.68</v>
      </c>
      <c r="R2449">
        <v>-19.399999999999999</v>
      </c>
      <c r="S2449">
        <v>-5.59</v>
      </c>
      <c r="T2449">
        <v>2.94</v>
      </c>
      <c r="U2449">
        <v>2.57</v>
      </c>
      <c r="V2449">
        <v>2.38</v>
      </c>
      <c r="W2449">
        <v>3.73</v>
      </c>
      <c r="X2449">
        <v>1.51</v>
      </c>
      <c r="Y2449">
        <v>1.06</v>
      </c>
      <c r="Z2449">
        <v>2.75</v>
      </c>
      <c r="AA2449">
        <v>2.5299999999999998</v>
      </c>
      <c r="AB2449">
        <v>3.78</v>
      </c>
      <c r="AC2449">
        <v>1.79</v>
      </c>
      <c r="AD2449">
        <v>12.85</v>
      </c>
      <c r="AE2449">
        <v>5.27</v>
      </c>
      <c r="AF2449">
        <v>4.8283333333333323</v>
      </c>
      <c r="AG2449" t="str">
        <f>HYPERLINK("https://finance.naver.com/item/fchart.naver?code=290090", "트윔 차트보기")</f>
        <v>트윔 차트보기</v>
      </c>
    </row>
    <row r="2450" spans="1:33" x14ac:dyDescent="0.3">
      <c r="A2450" t="s">
        <v>9827</v>
      </c>
      <c r="B2450" t="s">
        <v>55</v>
      </c>
      <c r="C2450" t="s">
        <v>9828</v>
      </c>
      <c r="D2450">
        <v>86534.1</v>
      </c>
      <c r="E2450" t="s">
        <v>9829</v>
      </c>
      <c r="F2450">
        <v>2.44</v>
      </c>
      <c r="G2450">
        <v>0.40999999642372131</v>
      </c>
      <c r="H2450">
        <v>291</v>
      </c>
      <c r="I2450">
        <v>0</v>
      </c>
      <c r="J2450" t="s">
        <v>9830</v>
      </c>
      <c r="K2450">
        <v>1117</v>
      </c>
      <c r="L2450">
        <v>710</v>
      </c>
      <c r="M2450">
        <v>-36.44</v>
      </c>
      <c r="N2450">
        <v>-0.42</v>
      </c>
      <c r="O2450">
        <v>-12.16</v>
      </c>
      <c r="P2450">
        <v>-4.62</v>
      </c>
      <c r="Q2450">
        <v>-12.04</v>
      </c>
      <c r="R2450">
        <v>-13.62</v>
      </c>
      <c r="S2450">
        <v>-1.28</v>
      </c>
      <c r="T2450">
        <v>0.65</v>
      </c>
      <c r="U2450">
        <v>1.1599999999999999</v>
      </c>
      <c r="V2450">
        <v>1.1599999999999999</v>
      </c>
      <c r="W2450">
        <v>3.44</v>
      </c>
      <c r="X2450">
        <v>1.42</v>
      </c>
      <c r="Y2450">
        <v>1.64</v>
      </c>
      <c r="Z2450">
        <v>0.65</v>
      </c>
      <c r="AA2450">
        <v>10.48</v>
      </c>
      <c r="AB2450">
        <v>3.98</v>
      </c>
      <c r="AC2450">
        <v>3.5</v>
      </c>
      <c r="AD2450">
        <v>9.59</v>
      </c>
      <c r="AE2450">
        <v>0.78</v>
      </c>
      <c r="AF2450">
        <v>4.83</v>
      </c>
      <c r="AG2450" t="str">
        <f>HYPERLINK("https://finance.naver.com/item/fchart.naver?code=066360", "체리부로 차트보기")</f>
        <v>체리부로 차트보기</v>
      </c>
    </row>
    <row r="2451" spans="1:33" x14ac:dyDescent="0.3">
      <c r="A2451" t="s">
        <v>9831</v>
      </c>
      <c r="B2451" t="s">
        <v>55</v>
      </c>
      <c r="C2451" t="s">
        <v>9832</v>
      </c>
      <c r="D2451">
        <v>6040.29</v>
      </c>
      <c r="E2451" t="s">
        <v>9833</v>
      </c>
      <c r="F2451">
        <v>0</v>
      </c>
      <c r="G2451">
        <v>0.85000002384185791</v>
      </c>
      <c r="H2451">
        <v>0</v>
      </c>
      <c r="I2451">
        <v>0</v>
      </c>
      <c r="J2451" t="s">
        <v>9834</v>
      </c>
      <c r="K2451">
        <v>7090</v>
      </c>
      <c r="L2451">
        <v>4460</v>
      </c>
      <c r="M2451">
        <v>-37.090000000000003</v>
      </c>
      <c r="N2451">
        <v>-2.73</v>
      </c>
      <c r="O2451">
        <v>-16.82</v>
      </c>
      <c r="P2451">
        <v>4.32</v>
      </c>
      <c r="Q2451">
        <v>-10.68</v>
      </c>
      <c r="R2451">
        <v>-4.1100000000000003</v>
      </c>
      <c r="S2451">
        <v>-13.84</v>
      </c>
      <c r="T2451">
        <v>1.73</v>
      </c>
      <c r="U2451">
        <v>1.51</v>
      </c>
      <c r="V2451">
        <v>1.54</v>
      </c>
      <c r="W2451">
        <v>4.58</v>
      </c>
      <c r="X2451">
        <v>1.52</v>
      </c>
      <c r="Y2451">
        <v>1.64</v>
      </c>
      <c r="Z2451">
        <v>1.58</v>
      </c>
      <c r="AA2451">
        <v>11.14</v>
      </c>
      <c r="AB2451">
        <v>2.81</v>
      </c>
      <c r="AC2451">
        <v>2.33</v>
      </c>
      <c r="AD2451">
        <v>2.7</v>
      </c>
      <c r="AE2451">
        <v>8.44</v>
      </c>
      <c r="AF2451">
        <v>4.833333333333333</v>
      </c>
      <c r="AG2451" t="str">
        <f>HYPERLINK("https://finance.naver.com/item/fchart.naver?code=367000", "플래티어 차트보기")</f>
        <v>플래티어 차트보기</v>
      </c>
    </row>
    <row r="2452" spans="1:33" x14ac:dyDescent="0.3">
      <c r="A2452" t="s">
        <v>9835</v>
      </c>
      <c r="B2452" t="s">
        <v>55</v>
      </c>
      <c r="C2452" t="s">
        <v>9836</v>
      </c>
      <c r="D2452">
        <v>1206733.8999999999</v>
      </c>
      <c r="E2452" t="s">
        <v>9837</v>
      </c>
      <c r="F2452">
        <v>0</v>
      </c>
      <c r="G2452">
        <v>2.910000085830688</v>
      </c>
      <c r="H2452">
        <v>0</v>
      </c>
      <c r="I2452">
        <v>0</v>
      </c>
      <c r="J2452" t="s">
        <v>9838</v>
      </c>
      <c r="K2452">
        <v>1976</v>
      </c>
      <c r="L2452">
        <v>918</v>
      </c>
      <c r="M2452">
        <v>-53.54</v>
      </c>
      <c r="N2452">
        <v>-2.96</v>
      </c>
      <c r="O2452">
        <v>-1.03</v>
      </c>
      <c r="P2452">
        <v>51.5</v>
      </c>
      <c r="Q2452">
        <v>-30.9</v>
      </c>
      <c r="R2452">
        <v>-24.19</v>
      </c>
      <c r="S2452">
        <v>-32.61</v>
      </c>
      <c r="T2452">
        <v>3.05</v>
      </c>
      <c r="U2452">
        <v>6.52</v>
      </c>
      <c r="V2452">
        <v>10.5</v>
      </c>
      <c r="W2452">
        <v>7.2</v>
      </c>
      <c r="X2452">
        <v>2.4</v>
      </c>
      <c r="Y2452">
        <v>3.78</v>
      </c>
      <c r="Z2452">
        <v>0.97</v>
      </c>
      <c r="AA2452">
        <v>0.16</v>
      </c>
      <c r="AB2452">
        <v>4.9000000000000004</v>
      </c>
      <c r="AC2452">
        <v>4.29</v>
      </c>
      <c r="AD2452">
        <v>10.08</v>
      </c>
      <c r="AE2452">
        <v>8.6300000000000008</v>
      </c>
      <c r="AF2452">
        <v>4.8383333333333338</v>
      </c>
      <c r="AG2452" t="str">
        <f>HYPERLINK("https://finance.naver.com/item/fchart.naver?code=088800", "에이스테크 차트보기")</f>
        <v>에이스테크 차트보기</v>
      </c>
    </row>
    <row r="2453" spans="1:33" x14ac:dyDescent="0.3">
      <c r="A2453" t="s">
        <v>9839</v>
      </c>
      <c r="B2453" t="s">
        <v>55</v>
      </c>
      <c r="C2453" t="s">
        <v>9840</v>
      </c>
      <c r="D2453">
        <v>156916.85999999999</v>
      </c>
      <c r="E2453" t="s">
        <v>9841</v>
      </c>
      <c r="F2453">
        <v>8.32</v>
      </c>
      <c r="G2453">
        <v>1.320000052452087</v>
      </c>
      <c r="H2453">
        <v>1330</v>
      </c>
      <c r="I2453">
        <v>0</v>
      </c>
      <c r="J2453" t="s">
        <v>9842</v>
      </c>
      <c r="K2453">
        <v>13420</v>
      </c>
      <c r="L2453">
        <v>11070</v>
      </c>
      <c r="M2453">
        <v>-17.510000000000002</v>
      </c>
      <c r="N2453">
        <v>11.59</v>
      </c>
      <c r="O2453">
        <v>-15.79</v>
      </c>
      <c r="P2453">
        <v>7.33</v>
      </c>
      <c r="Q2453">
        <v>-8.36</v>
      </c>
      <c r="R2453">
        <v>-12.57</v>
      </c>
      <c r="S2453">
        <v>-1.97</v>
      </c>
      <c r="T2453">
        <v>2.23</v>
      </c>
      <c r="U2453">
        <v>1.68</v>
      </c>
      <c r="V2453">
        <v>3.6</v>
      </c>
      <c r="W2453">
        <v>4.87</v>
      </c>
      <c r="X2453">
        <v>1.39</v>
      </c>
      <c r="Y2453">
        <v>1.2</v>
      </c>
      <c r="Z2453">
        <v>5.2</v>
      </c>
      <c r="AA2453">
        <v>9.4</v>
      </c>
      <c r="AB2453">
        <v>2.04</v>
      </c>
      <c r="AC2453">
        <v>1.72</v>
      </c>
      <c r="AD2453">
        <v>9.0399999999999991</v>
      </c>
      <c r="AE2453">
        <v>1.64</v>
      </c>
      <c r="AF2453">
        <v>4.84</v>
      </c>
      <c r="AG2453" t="str">
        <f>HYPERLINK("https://finance.naver.com/item/fchart.naver?code=118990", "모트렉스 차트보기")</f>
        <v>모트렉스 차트보기</v>
      </c>
    </row>
    <row r="2454" spans="1:33" x14ac:dyDescent="0.3">
      <c r="A2454" t="s">
        <v>9843</v>
      </c>
      <c r="B2454" t="s">
        <v>55</v>
      </c>
      <c r="C2454" t="s">
        <v>9844</v>
      </c>
      <c r="D2454">
        <v>38648.19</v>
      </c>
      <c r="E2454" t="s">
        <v>9845</v>
      </c>
      <c r="F2454">
        <v>0</v>
      </c>
      <c r="G2454">
        <v>0.80000001192092896</v>
      </c>
      <c r="H2454">
        <v>0</v>
      </c>
      <c r="I2454">
        <v>0</v>
      </c>
      <c r="J2454" t="s">
        <v>9846</v>
      </c>
      <c r="K2454">
        <v>4455</v>
      </c>
      <c r="L2454">
        <v>2995</v>
      </c>
      <c r="M2454">
        <v>-32.770000000000003</v>
      </c>
      <c r="N2454">
        <v>-1.64</v>
      </c>
      <c r="O2454">
        <v>-13.25</v>
      </c>
      <c r="P2454">
        <v>-19.670000000000002</v>
      </c>
      <c r="Q2454">
        <v>2.68</v>
      </c>
      <c r="R2454">
        <v>14.52</v>
      </c>
      <c r="S2454">
        <v>-16.32</v>
      </c>
      <c r="T2454">
        <v>2.65</v>
      </c>
      <c r="U2454">
        <v>3.1</v>
      </c>
      <c r="V2454">
        <v>3.59</v>
      </c>
      <c r="W2454">
        <v>2.81</v>
      </c>
      <c r="X2454">
        <v>2.56</v>
      </c>
      <c r="Y2454">
        <v>1.35</v>
      </c>
      <c r="Z2454">
        <v>0.62</v>
      </c>
      <c r="AA2454">
        <v>4.2699999999999996</v>
      </c>
      <c r="AB2454">
        <v>5.48</v>
      </c>
      <c r="AC2454">
        <v>0.95</v>
      </c>
      <c r="AD2454">
        <v>5.67</v>
      </c>
      <c r="AE2454">
        <v>12.09</v>
      </c>
      <c r="AF2454">
        <v>4.8466666666666667</v>
      </c>
      <c r="AG2454" t="str">
        <f>HYPERLINK("https://finance.naver.com/item/fchart.naver?code=308080", "바이젠셀 차트보기")</f>
        <v>바이젠셀 차트보기</v>
      </c>
    </row>
    <row r="2455" spans="1:33" x14ac:dyDescent="0.3">
      <c r="A2455" t="s">
        <v>9847</v>
      </c>
      <c r="B2455" t="s">
        <v>55</v>
      </c>
      <c r="C2455" t="s">
        <v>9848</v>
      </c>
      <c r="D2455">
        <v>3869396.19</v>
      </c>
      <c r="E2455" t="s">
        <v>9849</v>
      </c>
      <c r="F2455">
        <v>0</v>
      </c>
      <c r="G2455">
        <v>0.51999998092651367</v>
      </c>
      <c r="H2455">
        <v>0</v>
      </c>
      <c r="I2455">
        <v>0</v>
      </c>
      <c r="J2455" t="s">
        <v>9850</v>
      </c>
      <c r="K2455">
        <v>326</v>
      </c>
      <c r="L2455">
        <v>195</v>
      </c>
      <c r="M2455">
        <v>-40.18</v>
      </c>
      <c r="N2455">
        <v>-7.58</v>
      </c>
      <c r="O2455">
        <v>7.54</v>
      </c>
      <c r="P2455">
        <v>-23.77</v>
      </c>
      <c r="Q2455">
        <v>-10.46</v>
      </c>
      <c r="R2455">
        <v>-1.99</v>
      </c>
      <c r="S2455">
        <v>-5.28</v>
      </c>
      <c r="T2455">
        <v>1.34</v>
      </c>
      <c r="U2455">
        <v>10.34</v>
      </c>
      <c r="V2455">
        <v>2.2999999999999998</v>
      </c>
      <c r="W2455">
        <v>1.34</v>
      </c>
      <c r="X2455">
        <v>1.89</v>
      </c>
      <c r="Y2455">
        <v>1.51</v>
      </c>
      <c r="Z2455">
        <v>5.66</v>
      </c>
      <c r="AA2455">
        <v>0.73</v>
      </c>
      <c r="AB2455">
        <v>10.33</v>
      </c>
      <c r="AC2455">
        <v>7.81</v>
      </c>
      <c r="AD2455">
        <v>1.05</v>
      </c>
      <c r="AE2455">
        <v>3.5</v>
      </c>
      <c r="AF2455">
        <v>4.8466666666666667</v>
      </c>
      <c r="AG2455" t="str">
        <f>HYPERLINK("https://finance.naver.com/item/fchart.naver?code=123840", "뉴온 차트보기")</f>
        <v>뉴온 차트보기</v>
      </c>
    </row>
    <row r="2456" spans="1:33" x14ac:dyDescent="0.3">
      <c r="A2456" t="s">
        <v>9851</v>
      </c>
      <c r="B2456" t="s">
        <v>34</v>
      </c>
      <c r="C2456" t="s">
        <v>9852</v>
      </c>
      <c r="D2456">
        <v>679305.57</v>
      </c>
      <c r="E2456" t="s">
        <v>9853</v>
      </c>
      <c r="F2456">
        <v>10.210000000000001</v>
      </c>
      <c r="G2456">
        <v>0.94999998807907104</v>
      </c>
      <c r="H2456">
        <v>1681</v>
      </c>
      <c r="I2456">
        <v>5.4200000762939453</v>
      </c>
      <c r="J2456" t="s">
        <v>9854</v>
      </c>
      <c r="K2456">
        <v>15120</v>
      </c>
      <c r="L2456">
        <v>17170</v>
      </c>
      <c r="M2456">
        <v>13.56</v>
      </c>
      <c r="N2456">
        <v>-2.66</v>
      </c>
      <c r="O2456">
        <v>5.87</v>
      </c>
      <c r="P2456">
        <v>5.53</v>
      </c>
      <c r="Q2456">
        <v>10.050000000000001</v>
      </c>
      <c r="R2456">
        <v>2.92</v>
      </c>
      <c r="S2456">
        <v>-6.91</v>
      </c>
      <c r="T2456">
        <v>0.74</v>
      </c>
      <c r="U2456">
        <v>1.43</v>
      </c>
      <c r="V2456">
        <v>2.4500000000000002</v>
      </c>
      <c r="W2456">
        <v>1.86</v>
      </c>
      <c r="X2456">
        <v>0.92</v>
      </c>
      <c r="Y2456">
        <v>0.65</v>
      </c>
      <c r="Z2456">
        <v>3.59</v>
      </c>
      <c r="AA2456">
        <v>4.0999999999999996</v>
      </c>
      <c r="AB2456">
        <v>2.2599999999999998</v>
      </c>
      <c r="AC2456">
        <v>5.4</v>
      </c>
      <c r="AD2456">
        <v>3.17</v>
      </c>
      <c r="AE2456">
        <v>10.63</v>
      </c>
      <c r="AF2456">
        <v>4.8583333333333334</v>
      </c>
      <c r="AG2456" t="str">
        <f>HYPERLINK("https://finance.naver.com/item/fchart.naver?code=035250", "강원랜드 차트보기")</f>
        <v>강원랜드 차트보기</v>
      </c>
    </row>
    <row r="2457" spans="1:33" x14ac:dyDescent="0.3">
      <c r="A2457" t="s">
        <v>9855</v>
      </c>
      <c r="B2457" t="s">
        <v>34</v>
      </c>
      <c r="C2457" t="s">
        <v>9856</v>
      </c>
      <c r="D2457">
        <v>307977.05</v>
      </c>
      <c r="E2457" t="s">
        <v>9857</v>
      </c>
      <c r="F2457">
        <v>0</v>
      </c>
      <c r="G2457">
        <v>10.460000038146971</v>
      </c>
      <c r="H2457">
        <v>0</v>
      </c>
      <c r="I2457">
        <v>0</v>
      </c>
      <c r="J2457" t="s">
        <v>9858</v>
      </c>
      <c r="K2457">
        <v>54500</v>
      </c>
      <c r="L2457">
        <v>35850</v>
      </c>
      <c r="M2457">
        <v>-34.22</v>
      </c>
      <c r="N2457">
        <v>-9.6999999999999993</v>
      </c>
      <c r="O2457">
        <v>-19.760000000000002</v>
      </c>
      <c r="P2457">
        <v>-3.75</v>
      </c>
      <c r="Q2457">
        <v>48.74</v>
      </c>
      <c r="R2457">
        <v>-27.02</v>
      </c>
      <c r="S2457">
        <v>-8.09</v>
      </c>
      <c r="T2457">
        <v>4.8899999999999997</v>
      </c>
      <c r="U2457">
        <v>2.7</v>
      </c>
      <c r="V2457">
        <v>4.75</v>
      </c>
      <c r="W2457">
        <v>9.42</v>
      </c>
      <c r="X2457">
        <v>2.3199999999999998</v>
      </c>
      <c r="Y2457">
        <v>3.59</v>
      </c>
      <c r="Z2457">
        <v>1.98</v>
      </c>
      <c r="AA2457">
        <v>7.32</v>
      </c>
      <c r="AB2457">
        <v>0.79</v>
      </c>
      <c r="AC2457">
        <v>5.17</v>
      </c>
      <c r="AD2457">
        <v>11.65</v>
      </c>
      <c r="AE2457">
        <v>2.25</v>
      </c>
      <c r="AF2457">
        <v>4.8600000000000003</v>
      </c>
      <c r="AG2457" t="str">
        <f>HYPERLINK("https://finance.naver.com/item/fchart.naver?code=457190", "이수스페셜티케미컬 차트보기")</f>
        <v>이수스페셜티케미컬 차트보기</v>
      </c>
    </row>
    <row r="2458" spans="1:33" x14ac:dyDescent="0.3">
      <c r="A2458" t="s">
        <v>9859</v>
      </c>
      <c r="B2458" t="s">
        <v>55</v>
      </c>
      <c r="C2458" t="s">
        <v>9860</v>
      </c>
      <c r="D2458">
        <v>115768.71</v>
      </c>
      <c r="E2458" t="s">
        <v>9861</v>
      </c>
      <c r="F2458">
        <v>0</v>
      </c>
      <c r="G2458">
        <v>0.56999999284744263</v>
      </c>
      <c r="H2458">
        <v>0</v>
      </c>
      <c r="I2458">
        <v>0</v>
      </c>
      <c r="J2458" t="s">
        <v>9862</v>
      </c>
      <c r="K2458">
        <v>676</v>
      </c>
      <c r="L2458">
        <v>508</v>
      </c>
      <c r="M2458">
        <v>-24.85</v>
      </c>
      <c r="N2458">
        <v>-15.05</v>
      </c>
      <c r="O2458">
        <v>-16.760000000000002</v>
      </c>
      <c r="P2458">
        <v>16.04</v>
      </c>
      <c r="Q2458">
        <v>-0.51</v>
      </c>
      <c r="R2458">
        <v>-7.57</v>
      </c>
      <c r="S2458">
        <v>-2.66</v>
      </c>
      <c r="T2458">
        <v>5.56</v>
      </c>
      <c r="U2458">
        <v>1.2</v>
      </c>
      <c r="V2458">
        <v>2.5099999999999998</v>
      </c>
      <c r="W2458">
        <v>5.72</v>
      </c>
      <c r="X2458">
        <v>1.49</v>
      </c>
      <c r="Y2458">
        <v>2.8</v>
      </c>
      <c r="Z2458">
        <v>2.71</v>
      </c>
      <c r="AA2458">
        <v>13.97</v>
      </c>
      <c r="AB2458">
        <v>6.39</v>
      </c>
      <c r="AC2458">
        <v>0.09</v>
      </c>
      <c r="AD2458">
        <v>5.08</v>
      </c>
      <c r="AE2458">
        <v>0.95</v>
      </c>
      <c r="AF2458">
        <v>4.8650000000000002</v>
      </c>
      <c r="AG2458" t="str">
        <f>HYPERLINK("https://finance.naver.com/item/fchart.naver?code=091970", "나노캠텍 차트보기")</f>
        <v>나노캠텍 차트보기</v>
      </c>
    </row>
    <row r="2459" spans="1:33" x14ac:dyDescent="0.3">
      <c r="A2459" t="s">
        <v>9863</v>
      </c>
      <c r="B2459" t="s">
        <v>34</v>
      </c>
      <c r="C2459" t="s">
        <v>9864</v>
      </c>
      <c r="D2459">
        <v>2466.38</v>
      </c>
      <c r="E2459" t="s">
        <v>9865</v>
      </c>
      <c r="F2459">
        <v>3.71</v>
      </c>
      <c r="G2459">
        <v>0.23000000417232511</v>
      </c>
      <c r="H2459">
        <v>4307</v>
      </c>
      <c r="I2459">
        <v>1.879999995231628</v>
      </c>
      <c r="J2459" t="s">
        <v>9866</v>
      </c>
      <c r="K2459">
        <v>19790</v>
      </c>
      <c r="L2459">
        <v>16000</v>
      </c>
      <c r="M2459">
        <v>-19.149999999999999</v>
      </c>
      <c r="N2459">
        <v>-4.0199999999999996</v>
      </c>
      <c r="O2459">
        <v>-1.6</v>
      </c>
      <c r="P2459">
        <v>2.33</v>
      </c>
      <c r="Q2459">
        <v>-9.75</v>
      </c>
      <c r="R2459">
        <v>-3.68</v>
      </c>
      <c r="S2459">
        <v>-7.72</v>
      </c>
      <c r="T2459">
        <v>1.2</v>
      </c>
      <c r="U2459">
        <v>2.37</v>
      </c>
      <c r="V2459">
        <v>2.37</v>
      </c>
      <c r="W2459">
        <v>3.26</v>
      </c>
      <c r="X2459">
        <v>0.28999999999999998</v>
      </c>
      <c r="Y2459">
        <v>0.9</v>
      </c>
      <c r="Z2459">
        <v>3.35</v>
      </c>
      <c r="AA2459">
        <v>0.68</v>
      </c>
      <c r="AB2459">
        <v>0.98</v>
      </c>
      <c r="AC2459">
        <v>2.99</v>
      </c>
      <c r="AD2459">
        <v>12.69</v>
      </c>
      <c r="AE2459">
        <v>8.58</v>
      </c>
      <c r="AF2459">
        <v>4.878333333333333</v>
      </c>
      <c r="AG2459" t="str">
        <f>HYPERLINK("https://finance.naver.com/item/fchart.naver?code=006980", "우성 차트보기")</f>
        <v>우성 차트보기</v>
      </c>
    </row>
    <row r="2460" spans="1:33" x14ac:dyDescent="0.3">
      <c r="A2460" t="s">
        <v>9867</v>
      </c>
      <c r="B2460" t="s">
        <v>55</v>
      </c>
      <c r="C2460" t="s">
        <v>9868</v>
      </c>
      <c r="D2460">
        <v>3359635.43</v>
      </c>
      <c r="E2460" t="s">
        <v>9869</v>
      </c>
      <c r="F2460">
        <v>0</v>
      </c>
      <c r="G2460">
        <v>0.54000002145767212</v>
      </c>
      <c r="H2460">
        <v>0</v>
      </c>
      <c r="I2460">
        <v>0</v>
      </c>
      <c r="J2460" t="s">
        <v>9870</v>
      </c>
      <c r="K2460">
        <v>5080</v>
      </c>
      <c r="L2460">
        <v>2180</v>
      </c>
      <c r="M2460">
        <v>-57.09</v>
      </c>
      <c r="N2460">
        <v>37.450000000000003</v>
      </c>
      <c r="O2460">
        <v>-27.49</v>
      </c>
      <c r="P2460">
        <v>-21.77</v>
      </c>
      <c r="Q2460">
        <v>-1.83</v>
      </c>
      <c r="R2460">
        <v>-28.76</v>
      </c>
      <c r="S2460">
        <v>-21.25</v>
      </c>
      <c r="T2460">
        <v>14.41</v>
      </c>
      <c r="U2460">
        <v>3.21</v>
      </c>
      <c r="V2460">
        <v>7.12</v>
      </c>
      <c r="W2460">
        <v>5.23</v>
      </c>
      <c r="X2460">
        <v>2.38</v>
      </c>
      <c r="Y2460">
        <v>8.1</v>
      </c>
      <c r="Z2460">
        <v>2.6</v>
      </c>
      <c r="AA2460">
        <v>8.56</v>
      </c>
      <c r="AB2460">
        <v>3.06</v>
      </c>
      <c r="AC2460">
        <v>0.35</v>
      </c>
      <c r="AD2460">
        <v>12.08</v>
      </c>
      <c r="AE2460">
        <v>2.62</v>
      </c>
      <c r="AF2460">
        <v>4.878333333333333</v>
      </c>
      <c r="AG2460" t="str">
        <f>HYPERLINK("https://finance.naver.com/item/fchart.naver?code=073570", "리튬포어스 차트보기")</f>
        <v>리튬포어스 차트보기</v>
      </c>
    </row>
    <row r="2461" spans="1:33" x14ac:dyDescent="0.3">
      <c r="A2461" t="s">
        <v>9871</v>
      </c>
      <c r="B2461" t="s">
        <v>55</v>
      </c>
      <c r="C2461" t="s">
        <v>9872</v>
      </c>
      <c r="D2461">
        <v>80021.95</v>
      </c>
      <c r="E2461" t="s">
        <v>9873</v>
      </c>
      <c r="F2461">
        <v>14.95</v>
      </c>
      <c r="G2461">
        <v>1.279999971389771</v>
      </c>
      <c r="H2461">
        <v>1752</v>
      </c>
      <c r="I2461">
        <v>0.75999999046325684</v>
      </c>
      <c r="J2461" t="s">
        <v>9874</v>
      </c>
      <c r="K2461">
        <v>53500</v>
      </c>
      <c r="L2461">
        <v>26200</v>
      </c>
      <c r="M2461">
        <v>-51.03</v>
      </c>
      <c r="N2461">
        <v>-9.9700000000000006</v>
      </c>
      <c r="O2461">
        <v>-4.49</v>
      </c>
      <c r="P2461">
        <v>-3.17</v>
      </c>
      <c r="Q2461">
        <v>-31.51</v>
      </c>
      <c r="R2461">
        <v>-23.44</v>
      </c>
      <c r="S2461">
        <v>32.39</v>
      </c>
      <c r="T2461">
        <v>3.27</v>
      </c>
      <c r="U2461">
        <v>2.64</v>
      </c>
      <c r="V2461">
        <v>3.29</v>
      </c>
      <c r="W2461">
        <v>3.88</v>
      </c>
      <c r="X2461">
        <v>3.15</v>
      </c>
      <c r="Y2461">
        <v>4.0199999999999996</v>
      </c>
      <c r="Z2461">
        <v>3.05</v>
      </c>
      <c r="AA2461">
        <v>1.7</v>
      </c>
      <c r="AB2461">
        <v>0.96</v>
      </c>
      <c r="AC2461">
        <v>8.1199999999999992</v>
      </c>
      <c r="AD2461">
        <v>7.44</v>
      </c>
      <c r="AE2461">
        <v>8.06</v>
      </c>
      <c r="AF2461">
        <v>4.8883333333333328</v>
      </c>
      <c r="AG2461" t="str">
        <f>HYPERLINK("https://finance.naver.com/item/fchart.naver?code=166090", "하나머티리얼즈 차트보기")</f>
        <v>하나머티리얼즈 차트보기</v>
      </c>
    </row>
    <row r="2462" spans="1:33" x14ac:dyDescent="0.3">
      <c r="A2462" t="s">
        <v>9875</v>
      </c>
      <c r="B2462" t="s">
        <v>55</v>
      </c>
      <c r="C2462" t="s">
        <v>9876</v>
      </c>
      <c r="D2462">
        <v>27531.52</v>
      </c>
      <c r="E2462" t="s">
        <v>9877</v>
      </c>
      <c r="F2462">
        <v>0</v>
      </c>
      <c r="G2462">
        <v>0.70999997854232788</v>
      </c>
      <c r="H2462">
        <v>0</v>
      </c>
      <c r="I2462">
        <v>0</v>
      </c>
      <c r="J2462" t="s">
        <v>9878</v>
      </c>
      <c r="K2462">
        <v>6520</v>
      </c>
      <c r="L2462">
        <v>2875</v>
      </c>
      <c r="M2462">
        <v>-55.9</v>
      </c>
      <c r="N2462">
        <v>-14.69</v>
      </c>
      <c r="O2462">
        <v>-16.23</v>
      </c>
      <c r="P2462">
        <v>4.93</v>
      </c>
      <c r="Q2462">
        <v>-7.15</v>
      </c>
      <c r="R2462">
        <v>-9.39</v>
      </c>
      <c r="S2462">
        <v>-19.440000000000001</v>
      </c>
      <c r="T2462">
        <v>2.79</v>
      </c>
      <c r="U2462">
        <v>1.91</v>
      </c>
      <c r="V2462">
        <v>5.58</v>
      </c>
      <c r="W2462">
        <v>5.67</v>
      </c>
      <c r="X2462">
        <v>2.79</v>
      </c>
      <c r="Y2462">
        <v>1.93</v>
      </c>
      <c r="Z2462">
        <v>5.27</v>
      </c>
      <c r="AA2462">
        <v>8.5</v>
      </c>
      <c r="AB2462">
        <v>0.88</v>
      </c>
      <c r="AC2462">
        <v>1.26</v>
      </c>
      <c r="AD2462">
        <v>3.37</v>
      </c>
      <c r="AE2462">
        <v>10.07</v>
      </c>
      <c r="AF2462">
        <v>4.8916666666666666</v>
      </c>
      <c r="AG2462" t="str">
        <f>HYPERLINK("https://finance.naver.com/item/fchart.naver?code=438700", "버넥트 차트보기")</f>
        <v>버넥트 차트보기</v>
      </c>
    </row>
    <row r="2463" spans="1:33" x14ac:dyDescent="0.3">
      <c r="A2463" t="s">
        <v>9879</v>
      </c>
      <c r="B2463" t="s">
        <v>55</v>
      </c>
      <c r="C2463" t="s">
        <v>9880</v>
      </c>
      <c r="D2463">
        <v>57750.57</v>
      </c>
      <c r="E2463" t="s">
        <v>9881</v>
      </c>
      <c r="F2463">
        <v>0</v>
      </c>
      <c r="G2463">
        <v>7.0100002288818359</v>
      </c>
      <c r="H2463">
        <v>0</v>
      </c>
      <c r="I2463">
        <v>0</v>
      </c>
      <c r="J2463" t="s">
        <v>9882</v>
      </c>
      <c r="K2463">
        <v>25300</v>
      </c>
      <c r="L2463">
        <v>10480</v>
      </c>
      <c r="M2463">
        <v>-58.58</v>
      </c>
      <c r="N2463">
        <v>-4.12</v>
      </c>
      <c r="O2463">
        <v>-20.440000000000001</v>
      </c>
      <c r="P2463">
        <v>19.16</v>
      </c>
      <c r="Q2463">
        <v>-21.85</v>
      </c>
      <c r="R2463">
        <v>-27.43</v>
      </c>
      <c r="S2463">
        <v>-5.53</v>
      </c>
      <c r="T2463">
        <v>3.66</v>
      </c>
      <c r="U2463">
        <v>2.21</v>
      </c>
      <c r="V2463">
        <v>5.31</v>
      </c>
      <c r="W2463">
        <v>6.08</v>
      </c>
      <c r="X2463">
        <v>2.54</v>
      </c>
      <c r="Y2463">
        <v>5.55</v>
      </c>
      <c r="Z2463">
        <v>1.1299999999999999</v>
      </c>
      <c r="AA2463">
        <v>9.25</v>
      </c>
      <c r="AB2463">
        <v>3.61</v>
      </c>
      <c r="AC2463">
        <v>3.59</v>
      </c>
      <c r="AD2463">
        <v>10.8</v>
      </c>
      <c r="AE2463">
        <v>1</v>
      </c>
      <c r="AF2463">
        <v>4.8966666666666674</v>
      </c>
      <c r="AG2463" t="str">
        <f>HYPERLINK("https://finance.naver.com/item/fchart.naver?code=452430", "사피엔반도체 차트보기")</f>
        <v>사피엔반도체 차트보기</v>
      </c>
    </row>
    <row r="2464" spans="1:33" x14ac:dyDescent="0.3">
      <c r="A2464" t="s">
        <v>9883</v>
      </c>
      <c r="B2464" t="s">
        <v>55</v>
      </c>
      <c r="C2464" t="s">
        <v>9884</v>
      </c>
      <c r="D2464">
        <v>342119.05</v>
      </c>
      <c r="E2464" t="s">
        <v>9885</v>
      </c>
      <c r="F2464">
        <v>24.8</v>
      </c>
      <c r="G2464">
        <v>1.970000028610229</v>
      </c>
      <c r="H2464">
        <v>15</v>
      </c>
      <c r="I2464">
        <v>0</v>
      </c>
      <c r="J2464" t="s">
        <v>9886</v>
      </c>
      <c r="K2464">
        <v>456</v>
      </c>
      <c r="L2464">
        <v>372</v>
      </c>
      <c r="M2464">
        <v>-18.420000000000002</v>
      </c>
      <c r="N2464">
        <v>13.07</v>
      </c>
      <c r="O2464">
        <v>-13.99</v>
      </c>
      <c r="P2464">
        <v>0.52</v>
      </c>
      <c r="Q2464">
        <v>-1.04</v>
      </c>
      <c r="R2464">
        <v>-10.29</v>
      </c>
      <c r="S2464">
        <v>-10.81</v>
      </c>
      <c r="T2464">
        <v>4.07</v>
      </c>
      <c r="U2464">
        <v>1.17</v>
      </c>
      <c r="V2464">
        <v>1.57</v>
      </c>
      <c r="W2464">
        <v>2.64</v>
      </c>
      <c r="X2464">
        <v>1.39</v>
      </c>
      <c r="Y2464">
        <v>1.77</v>
      </c>
      <c r="Z2464">
        <v>3.21</v>
      </c>
      <c r="AA2464">
        <v>11.96</v>
      </c>
      <c r="AB2464">
        <v>0.33</v>
      </c>
      <c r="AC2464">
        <v>0.39</v>
      </c>
      <c r="AD2464">
        <v>7.4</v>
      </c>
      <c r="AE2464">
        <v>6.11</v>
      </c>
      <c r="AF2464">
        <v>4.9000000000000004</v>
      </c>
      <c r="AG2464" t="str">
        <f>HYPERLINK("https://finance.naver.com/item/fchart.naver?code=096350", "대창솔루션 차트보기")</f>
        <v>대창솔루션 차트보기</v>
      </c>
    </row>
    <row r="2465" spans="1:33" x14ac:dyDescent="0.3">
      <c r="A2465" t="s">
        <v>9887</v>
      </c>
      <c r="B2465" t="s">
        <v>34</v>
      </c>
      <c r="C2465" t="s">
        <v>9888</v>
      </c>
      <c r="D2465">
        <v>234135.14</v>
      </c>
      <c r="E2465" t="s">
        <v>9889</v>
      </c>
      <c r="J2465" t="s">
        <v>9890</v>
      </c>
      <c r="K2465">
        <v>4884</v>
      </c>
      <c r="L2465">
        <v>3600</v>
      </c>
      <c r="M2465">
        <v>-26.29</v>
      </c>
      <c r="N2465">
        <v>-4.38</v>
      </c>
      <c r="O2465">
        <v>-9.36</v>
      </c>
      <c r="P2465">
        <v>-13.1</v>
      </c>
      <c r="Q2465">
        <v>-2.75</v>
      </c>
      <c r="R2465">
        <v>3.12</v>
      </c>
      <c r="S2465">
        <v>-2.38</v>
      </c>
      <c r="T2465">
        <v>1.4</v>
      </c>
      <c r="U2465">
        <v>1.33</v>
      </c>
      <c r="V2465">
        <v>1.76</v>
      </c>
      <c r="W2465">
        <v>1.1299999999999999</v>
      </c>
      <c r="X2465">
        <v>0.5</v>
      </c>
      <c r="Y2465">
        <v>0.75</v>
      </c>
      <c r="Z2465">
        <v>3.13</v>
      </c>
      <c r="AA2465">
        <v>7.04</v>
      </c>
      <c r="AB2465">
        <v>7.44</v>
      </c>
      <c r="AC2465">
        <v>2.4300000000000002</v>
      </c>
      <c r="AD2465">
        <v>6.24</v>
      </c>
      <c r="AE2465">
        <v>3.17</v>
      </c>
      <c r="AF2465">
        <v>4.9083333333333341</v>
      </c>
      <c r="AG2465" t="str">
        <f>HYPERLINK("https://finance.naver.com/item/fchart.naver?code=451800", "한화리츠 차트보기")</f>
        <v>한화리츠 차트보기</v>
      </c>
    </row>
    <row r="2466" spans="1:33" x14ac:dyDescent="0.3">
      <c r="A2466" t="s">
        <v>9891</v>
      </c>
      <c r="B2466" t="s">
        <v>34</v>
      </c>
      <c r="C2466" t="s">
        <v>9892</v>
      </c>
      <c r="D2466">
        <v>9126.48</v>
      </c>
      <c r="E2466" t="s">
        <v>9893</v>
      </c>
      <c r="F2466">
        <v>0</v>
      </c>
      <c r="G2466">
        <v>1.0199999809265139</v>
      </c>
      <c r="H2466">
        <v>0</v>
      </c>
      <c r="I2466">
        <v>0</v>
      </c>
      <c r="J2466" t="s">
        <v>9894</v>
      </c>
      <c r="K2466">
        <v>12760</v>
      </c>
      <c r="L2466">
        <v>10300</v>
      </c>
      <c r="M2466">
        <v>-19.28</v>
      </c>
      <c r="N2466">
        <v>1.48</v>
      </c>
      <c r="O2466">
        <v>-12.46</v>
      </c>
      <c r="P2466">
        <v>0.52</v>
      </c>
      <c r="Q2466">
        <v>-9.1</v>
      </c>
      <c r="R2466">
        <v>-5.47</v>
      </c>
      <c r="S2466">
        <v>5.2</v>
      </c>
      <c r="T2466">
        <v>1.37</v>
      </c>
      <c r="U2466">
        <v>1.1200000000000001</v>
      </c>
      <c r="V2466">
        <v>1.1599999999999999</v>
      </c>
      <c r="W2466">
        <v>2.8</v>
      </c>
      <c r="X2466">
        <v>0.93</v>
      </c>
      <c r="Y2466">
        <v>0.67</v>
      </c>
      <c r="Z2466">
        <v>1.08</v>
      </c>
      <c r="AA2466">
        <v>11.12</v>
      </c>
      <c r="AB2466">
        <v>0.45</v>
      </c>
      <c r="AC2466">
        <v>3.25</v>
      </c>
      <c r="AD2466">
        <v>5.88</v>
      </c>
      <c r="AE2466">
        <v>7.76</v>
      </c>
      <c r="AF2466">
        <v>4.9233333333333329</v>
      </c>
      <c r="AG2466" t="str">
        <f>HYPERLINK("https://finance.naver.com/item/fchart.naver?code=001550", "조비 차트보기")</f>
        <v>조비 차트보기</v>
      </c>
    </row>
    <row r="2467" spans="1:33" x14ac:dyDescent="0.3">
      <c r="A2467" t="s">
        <v>9895</v>
      </c>
      <c r="B2467" t="s">
        <v>34</v>
      </c>
      <c r="C2467" t="s">
        <v>9896</v>
      </c>
      <c r="D2467">
        <v>7388.95</v>
      </c>
      <c r="E2467" t="s">
        <v>9897</v>
      </c>
      <c r="F2467">
        <v>26.6</v>
      </c>
      <c r="G2467">
        <v>0.37999999523162842</v>
      </c>
      <c r="H2467">
        <v>550</v>
      </c>
      <c r="I2467">
        <v>0.68000000715255737</v>
      </c>
      <c r="J2467" t="s">
        <v>9898</v>
      </c>
      <c r="K2467">
        <v>22550</v>
      </c>
      <c r="L2467">
        <v>14630</v>
      </c>
      <c r="M2467">
        <v>-35.119999999999997</v>
      </c>
      <c r="N2467">
        <v>-6.34</v>
      </c>
      <c r="O2467">
        <v>-6.83</v>
      </c>
      <c r="P2467">
        <v>-1.78</v>
      </c>
      <c r="Q2467">
        <v>-8.51</v>
      </c>
      <c r="R2467">
        <v>-8.58</v>
      </c>
      <c r="S2467">
        <v>-3.2</v>
      </c>
      <c r="T2467">
        <v>2.16</v>
      </c>
      <c r="U2467">
        <v>0.78</v>
      </c>
      <c r="V2467">
        <v>1.47</v>
      </c>
      <c r="W2467">
        <v>2.84</v>
      </c>
      <c r="X2467">
        <v>0.83</v>
      </c>
      <c r="Y2467">
        <v>0.96</v>
      </c>
      <c r="Z2467">
        <v>2.94</v>
      </c>
      <c r="AA2467">
        <v>8.76</v>
      </c>
      <c r="AB2467">
        <v>1.21</v>
      </c>
      <c r="AC2467">
        <v>3</v>
      </c>
      <c r="AD2467">
        <v>10.34</v>
      </c>
      <c r="AE2467">
        <v>3.33</v>
      </c>
      <c r="AF2467">
        <v>4.93</v>
      </c>
      <c r="AG2467" t="str">
        <f>HYPERLINK("https://finance.naver.com/item/fchart.naver?code=008490", "서흥 차트보기")</f>
        <v>서흥 차트보기</v>
      </c>
    </row>
    <row r="2468" spans="1:33" x14ac:dyDescent="0.3">
      <c r="A2468" t="s">
        <v>9899</v>
      </c>
      <c r="B2468" t="s">
        <v>34</v>
      </c>
      <c r="C2468" t="s">
        <v>9900</v>
      </c>
      <c r="D2468">
        <v>216936.05</v>
      </c>
      <c r="E2468" t="s">
        <v>9901</v>
      </c>
      <c r="F2468">
        <v>99.6</v>
      </c>
      <c r="G2468">
        <v>1.279999971389771</v>
      </c>
      <c r="H2468">
        <v>15</v>
      </c>
      <c r="I2468">
        <v>1</v>
      </c>
      <c r="J2468" t="s">
        <v>9902</v>
      </c>
      <c r="K2468">
        <v>1763</v>
      </c>
      <c r="L2468">
        <v>1494</v>
      </c>
      <c r="M2468">
        <v>-15.26</v>
      </c>
      <c r="N2468">
        <v>5.43</v>
      </c>
      <c r="O2468">
        <v>-5.25</v>
      </c>
      <c r="P2468">
        <v>4.2</v>
      </c>
      <c r="Q2468">
        <v>-10.51</v>
      </c>
      <c r="R2468">
        <v>-4.1100000000000003</v>
      </c>
      <c r="S2468">
        <v>-2.02</v>
      </c>
      <c r="T2468">
        <v>1.1000000000000001</v>
      </c>
      <c r="U2468">
        <v>0.56999999999999995</v>
      </c>
      <c r="V2468">
        <v>1.22</v>
      </c>
      <c r="W2468">
        <v>2.16</v>
      </c>
      <c r="X2468">
        <v>0.7</v>
      </c>
      <c r="Y2468">
        <v>1.61</v>
      </c>
      <c r="Z2468">
        <v>4.9400000000000004</v>
      </c>
      <c r="AA2468">
        <v>9.2100000000000009</v>
      </c>
      <c r="AB2468">
        <v>3.44</v>
      </c>
      <c r="AC2468">
        <v>4.87</v>
      </c>
      <c r="AD2468">
        <v>5.87</v>
      </c>
      <c r="AE2468">
        <v>1.25</v>
      </c>
      <c r="AF2468">
        <v>4.9300000000000006</v>
      </c>
      <c r="AG2468" t="str">
        <f>HYPERLINK("https://finance.naver.com/item/fchart.naver?code=002700", "신일전자 차트보기")</f>
        <v>신일전자 차트보기</v>
      </c>
    </row>
    <row r="2469" spans="1:33" x14ac:dyDescent="0.3">
      <c r="A2469" t="s">
        <v>9903</v>
      </c>
      <c r="B2469" t="s">
        <v>34</v>
      </c>
      <c r="C2469" t="s">
        <v>9904</v>
      </c>
      <c r="D2469">
        <v>17940.759999999998</v>
      </c>
      <c r="E2469" t="s">
        <v>9905</v>
      </c>
      <c r="F2469">
        <v>0</v>
      </c>
      <c r="G2469">
        <v>2.880000114440918</v>
      </c>
      <c r="H2469">
        <v>0</v>
      </c>
      <c r="I2469">
        <v>0</v>
      </c>
      <c r="J2469" t="s">
        <v>9906</v>
      </c>
      <c r="K2469">
        <v>4745</v>
      </c>
      <c r="L2469">
        <v>9480</v>
      </c>
      <c r="M2469">
        <v>99.79</v>
      </c>
      <c r="N2469">
        <v>-3.85</v>
      </c>
      <c r="O2469">
        <v>-11.97</v>
      </c>
      <c r="P2469">
        <v>7.12</v>
      </c>
      <c r="Q2469">
        <v>-0.7</v>
      </c>
      <c r="R2469">
        <v>186.17</v>
      </c>
      <c r="S2469">
        <v>-23.64</v>
      </c>
      <c r="T2469">
        <v>1.78</v>
      </c>
      <c r="U2469">
        <v>2.96</v>
      </c>
      <c r="V2469">
        <v>2.52</v>
      </c>
      <c r="W2469">
        <v>3.84</v>
      </c>
      <c r="X2469">
        <v>11.22</v>
      </c>
      <c r="Y2469">
        <v>6.22</v>
      </c>
      <c r="Z2469">
        <v>2.16</v>
      </c>
      <c r="AA2469">
        <v>4.04</v>
      </c>
      <c r="AB2469">
        <v>2.83</v>
      </c>
      <c r="AC2469">
        <v>0.18</v>
      </c>
      <c r="AD2469">
        <v>16.59</v>
      </c>
      <c r="AE2469">
        <v>3.8</v>
      </c>
      <c r="AF2469">
        <v>4.9333333333333336</v>
      </c>
      <c r="AG2469" t="str">
        <f>HYPERLINK("https://finance.naver.com/item/fchart.naver?code=071950", "코아스 차트보기")</f>
        <v>코아스 차트보기</v>
      </c>
    </row>
    <row r="2470" spans="1:33" x14ac:dyDescent="0.3">
      <c r="A2470" t="s">
        <v>9907</v>
      </c>
      <c r="B2470" t="s">
        <v>55</v>
      </c>
      <c r="C2470" t="s">
        <v>9908</v>
      </c>
      <c r="D2470">
        <v>7604066.9500000002</v>
      </c>
      <c r="E2470" t="s">
        <v>9909</v>
      </c>
      <c r="F2470">
        <v>0</v>
      </c>
      <c r="G2470">
        <v>1.75</v>
      </c>
      <c r="H2470">
        <v>0</v>
      </c>
      <c r="I2470">
        <v>0</v>
      </c>
      <c r="J2470" t="s">
        <v>9910</v>
      </c>
      <c r="K2470">
        <v>5510</v>
      </c>
      <c r="L2470">
        <v>2985</v>
      </c>
      <c r="M2470">
        <v>-45.83</v>
      </c>
      <c r="N2470">
        <v>93.08</v>
      </c>
      <c r="O2470">
        <v>-26.82</v>
      </c>
      <c r="P2470">
        <v>-32.64</v>
      </c>
      <c r="Q2470">
        <v>-10.63</v>
      </c>
      <c r="R2470">
        <v>-14.29</v>
      </c>
      <c r="S2470">
        <v>-18.649999999999999</v>
      </c>
      <c r="T2470">
        <v>13.88</v>
      </c>
      <c r="U2470">
        <v>3.67</v>
      </c>
      <c r="V2470">
        <v>5.35</v>
      </c>
      <c r="W2470">
        <v>4.57</v>
      </c>
      <c r="X2470">
        <v>2.76</v>
      </c>
      <c r="Y2470">
        <v>9.18</v>
      </c>
      <c r="Z2470">
        <v>6.71</v>
      </c>
      <c r="AA2470">
        <v>7.31</v>
      </c>
      <c r="AB2470">
        <v>6.1</v>
      </c>
      <c r="AC2470">
        <v>2.33</v>
      </c>
      <c r="AD2470">
        <v>5.18</v>
      </c>
      <c r="AE2470">
        <v>2.0299999999999998</v>
      </c>
      <c r="AF2470">
        <v>4.9433333333333316</v>
      </c>
      <c r="AG2470" t="str">
        <f>HYPERLINK("https://finance.naver.com/item/fchart.naver?code=101670", "하이드로리튬 차트보기")</f>
        <v>하이드로리튬 차트보기</v>
      </c>
    </row>
    <row r="2471" spans="1:33" x14ac:dyDescent="0.3">
      <c r="A2471" t="s">
        <v>9911</v>
      </c>
      <c r="B2471" t="s">
        <v>34</v>
      </c>
      <c r="C2471" t="s">
        <v>9912</v>
      </c>
      <c r="D2471">
        <v>1915.81</v>
      </c>
      <c r="E2471" t="s">
        <v>9913</v>
      </c>
      <c r="F2471">
        <v>0</v>
      </c>
      <c r="G2471">
        <v>0</v>
      </c>
      <c r="H2471">
        <v>0</v>
      </c>
      <c r="I2471">
        <v>1.2699999809265139</v>
      </c>
      <c r="J2471" t="s">
        <v>9914</v>
      </c>
      <c r="K2471">
        <v>5870</v>
      </c>
      <c r="L2471">
        <v>3545</v>
      </c>
      <c r="M2471">
        <v>-39.61</v>
      </c>
      <c r="N2471">
        <v>-6.46</v>
      </c>
      <c r="O2471">
        <v>-12.4</v>
      </c>
      <c r="P2471">
        <v>1.68</v>
      </c>
      <c r="Q2471">
        <v>-16.5</v>
      </c>
      <c r="R2471">
        <v>-10.97</v>
      </c>
      <c r="S2471">
        <v>-3.68</v>
      </c>
      <c r="T2471">
        <v>1.82</v>
      </c>
      <c r="U2471">
        <v>1.19</v>
      </c>
      <c r="V2471">
        <v>1.52</v>
      </c>
      <c r="W2471">
        <v>4.8099999999999996</v>
      </c>
      <c r="X2471">
        <v>1.44</v>
      </c>
      <c r="Y2471">
        <v>1.04</v>
      </c>
      <c r="Z2471">
        <v>3.55</v>
      </c>
      <c r="AA2471">
        <v>10.42</v>
      </c>
      <c r="AB2471">
        <v>1.1100000000000001</v>
      </c>
      <c r="AC2471">
        <v>3.43</v>
      </c>
      <c r="AD2471">
        <v>7.62</v>
      </c>
      <c r="AE2471">
        <v>3.54</v>
      </c>
      <c r="AF2471">
        <v>4.9449999999999994</v>
      </c>
      <c r="AG2471" t="str">
        <f>HYPERLINK("https://finance.naver.com/item/fchart.naver?code=45014K", "코오롱모빌리티그룹우 차트보기")</f>
        <v>코오롱모빌리티그룹우 차트보기</v>
      </c>
    </row>
    <row r="2472" spans="1:33" x14ac:dyDescent="0.3">
      <c r="A2472" t="s">
        <v>9915</v>
      </c>
      <c r="B2472" t="s">
        <v>55</v>
      </c>
      <c r="C2472" t="s">
        <v>9916</v>
      </c>
      <c r="D2472">
        <v>24143.24</v>
      </c>
      <c r="E2472" t="s">
        <v>9917</v>
      </c>
      <c r="F2472">
        <v>0</v>
      </c>
      <c r="G2472">
        <v>0.38999998569488531</v>
      </c>
      <c r="H2472">
        <v>0</v>
      </c>
      <c r="I2472">
        <v>0</v>
      </c>
      <c r="J2472" t="s">
        <v>9918</v>
      </c>
      <c r="K2472">
        <v>3125</v>
      </c>
      <c r="L2472">
        <v>2390</v>
      </c>
      <c r="M2472">
        <v>-23.52</v>
      </c>
      <c r="N2472">
        <v>1.27</v>
      </c>
      <c r="O2472">
        <v>11.93</v>
      </c>
      <c r="P2472">
        <v>-10.54</v>
      </c>
      <c r="Q2472">
        <v>-13.11</v>
      </c>
      <c r="R2472">
        <v>-9.76</v>
      </c>
      <c r="S2472">
        <v>0.34</v>
      </c>
      <c r="T2472">
        <v>1.69</v>
      </c>
      <c r="U2472">
        <v>1.78</v>
      </c>
      <c r="V2472">
        <v>2.95</v>
      </c>
      <c r="W2472">
        <v>1.96</v>
      </c>
      <c r="X2472">
        <v>0.82</v>
      </c>
      <c r="Y2472">
        <v>1.42</v>
      </c>
      <c r="Z2472">
        <v>0.75</v>
      </c>
      <c r="AA2472">
        <v>6.7</v>
      </c>
      <c r="AB2472">
        <v>3.57</v>
      </c>
      <c r="AC2472">
        <v>6.69</v>
      </c>
      <c r="AD2472">
        <v>11.9</v>
      </c>
      <c r="AE2472">
        <v>0.24</v>
      </c>
      <c r="AF2472">
        <v>4.9749999999999996</v>
      </c>
      <c r="AG2472" t="str">
        <f>HYPERLINK("https://finance.naver.com/item/fchart.naver?code=066900", "디에이피 차트보기")</f>
        <v>디에이피 차트보기</v>
      </c>
    </row>
    <row r="2473" spans="1:33" x14ac:dyDescent="0.3">
      <c r="A2473" t="s">
        <v>9919</v>
      </c>
      <c r="B2473" t="s">
        <v>55</v>
      </c>
      <c r="C2473" t="s">
        <v>9920</v>
      </c>
      <c r="D2473">
        <v>820587.29</v>
      </c>
      <c r="E2473" t="s">
        <v>9921</v>
      </c>
      <c r="F2473">
        <v>0</v>
      </c>
      <c r="G2473">
        <v>7.929999828338623</v>
      </c>
      <c r="H2473">
        <v>0</v>
      </c>
      <c r="I2473">
        <v>0</v>
      </c>
      <c r="J2473" t="s">
        <v>9922</v>
      </c>
      <c r="K2473">
        <v>28700</v>
      </c>
      <c r="L2473">
        <v>6720</v>
      </c>
      <c r="M2473">
        <v>-76.59</v>
      </c>
      <c r="N2473">
        <v>-14.83</v>
      </c>
      <c r="O2473">
        <v>3.97</v>
      </c>
      <c r="P2473">
        <v>-9.92</v>
      </c>
      <c r="Q2473">
        <v>25.5</v>
      </c>
      <c r="R2473">
        <v>-17.559999999999999</v>
      </c>
      <c r="S2473">
        <v>-37.840000000000003</v>
      </c>
      <c r="T2473">
        <v>3.5</v>
      </c>
      <c r="U2473">
        <v>4.9800000000000004</v>
      </c>
      <c r="V2473">
        <v>9.1</v>
      </c>
      <c r="W2473">
        <v>9.2899999999999991</v>
      </c>
      <c r="X2473">
        <v>2.23</v>
      </c>
      <c r="Y2473">
        <v>2.88</v>
      </c>
      <c r="Z2473">
        <v>4.24</v>
      </c>
      <c r="AA2473">
        <v>0.8</v>
      </c>
      <c r="AB2473">
        <v>1.0900000000000001</v>
      </c>
      <c r="AC2473">
        <v>2.74</v>
      </c>
      <c r="AD2473">
        <v>7.87</v>
      </c>
      <c r="AE2473">
        <v>13.14</v>
      </c>
      <c r="AF2473">
        <v>4.9800000000000004</v>
      </c>
      <c r="AG2473" t="str">
        <f>HYPERLINK("https://finance.naver.com/item/fchart.naver?code=456010", "아이씨티케이 차트보기")</f>
        <v>아이씨티케이 차트보기</v>
      </c>
    </row>
    <row r="2474" spans="1:33" x14ac:dyDescent="0.3">
      <c r="A2474" t="s">
        <v>9923</v>
      </c>
      <c r="B2474" t="s">
        <v>34</v>
      </c>
      <c r="C2474" t="s">
        <v>9924</v>
      </c>
      <c r="D2474">
        <v>1650.38</v>
      </c>
      <c r="E2474" t="s">
        <v>9925</v>
      </c>
      <c r="F2474">
        <v>0</v>
      </c>
      <c r="G2474">
        <v>0</v>
      </c>
      <c r="H2474">
        <v>0</v>
      </c>
      <c r="I2474">
        <v>0.70999997854232788</v>
      </c>
      <c r="J2474" t="s">
        <v>9926</v>
      </c>
      <c r="K2474">
        <v>44450</v>
      </c>
      <c r="L2474">
        <v>35100</v>
      </c>
      <c r="M2474">
        <v>-21.03</v>
      </c>
      <c r="N2474">
        <v>-4.75</v>
      </c>
      <c r="O2474">
        <v>-2.86</v>
      </c>
      <c r="P2474">
        <v>1.81</v>
      </c>
      <c r="Q2474">
        <v>-3.73</v>
      </c>
      <c r="R2474">
        <v>-2.91</v>
      </c>
      <c r="S2474">
        <v>-4.95</v>
      </c>
      <c r="T2474">
        <v>0.87</v>
      </c>
      <c r="U2474">
        <v>0.9</v>
      </c>
      <c r="V2474">
        <v>1.25</v>
      </c>
      <c r="W2474">
        <v>2.42</v>
      </c>
      <c r="X2474">
        <v>0.43</v>
      </c>
      <c r="Y2474">
        <v>0.43</v>
      </c>
      <c r="Z2474">
        <v>5.46</v>
      </c>
      <c r="AA2474">
        <v>3.18</v>
      </c>
      <c r="AB2474">
        <v>1.45</v>
      </c>
      <c r="AC2474">
        <v>1.54</v>
      </c>
      <c r="AD2474">
        <v>6.77</v>
      </c>
      <c r="AE2474">
        <v>11.51</v>
      </c>
      <c r="AF2474">
        <v>4.9849999999999994</v>
      </c>
      <c r="AG2474" t="str">
        <f>HYPERLINK("https://finance.naver.com/item/fchart.naver?code=008775", "호텔신라우 차트보기")</f>
        <v>호텔신라우 차트보기</v>
      </c>
    </row>
    <row r="2475" spans="1:33" x14ac:dyDescent="0.3">
      <c r="A2475" t="s">
        <v>9927</v>
      </c>
      <c r="B2475" t="s">
        <v>34</v>
      </c>
      <c r="C2475" t="s">
        <v>9928</v>
      </c>
      <c r="D2475">
        <v>25997.19</v>
      </c>
      <c r="E2475" t="s">
        <v>9929</v>
      </c>
      <c r="F2475">
        <v>0</v>
      </c>
      <c r="G2475">
        <v>2.190000057220459</v>
      </c>
      <c r="H2475">
        <v>0</v>
      </c>
      <c r="I2475">
        <v>0</v>
      </c>
      <c r="J2475" t="s">
        <v>9930</v>
      </c>
      <c r="K2475">
        <v>60100</v>
      </c>
      <c r="L2475">
        <v>35800</v>
      </c>
      <c r="M2475">
        <v>-40.43</v>
      </c>
      <c r="N2475">
        <v>-9.3699999999999992</v>
      </c>
      <c r="O2475">
        <v>-15.25</v>
      </c>
      <c r="P2475">
        <v>5.15</v>
      </c>
      <c r="Q2475">
        <v>-13.59</v>
      </c>
      <c r="R2475">
        <v>-18.850000000000001</v>
      </c>
      <c r="S2475">
        <v>-3.56</v>
      </c>
      <c r="T2475">
        <v>2.27</v>
      </c>
      <c r="U2475">
        <v>1.54</v>
      </c>
      <c r="V2475">
        <v>2.88</v>
      </c>
      <c r="W2475">
        <v>4.34</v>
      </c>
      <c r="X2475">
        <v>1.9</v>
      </c>
      <c r="Y2475">
        <v>3.36</v>
      </c>
      <c r="Z2475">
        <v>4.13</v>
      </c>
      <c r="AA2475">
        <v>9.9</v>
      </c>
      <c r="AB2475">
        <v>1.79</v>
      </c>
      <c r="AC2475">
        <v>3.13</v>
      </c>
      <c r="AD2475">
        <v>9.92</v>
      </c>
      <c r="AE2475">
        <v>1.06</v>
      </c>
      <c r="AF2475">
        <v>4.9883333333333324</v>
      </c>
      <c r="AG2475" t="str">
        <f>HYPERLINK("https://finance.naver.com/item/fchart.naver?code=298000", "효성화학 차트보기")</f>
        <v>효성화학 차트보기</v>
      </c>
    </row>
    <row r="2476" spans="1:33" x14ac:dyDescent="0.3">
      <c r="A2476" t="s">
        <v>9931</v>
      </c>
      <c r="B2476" t="s">
        <v>55</v>
      </c>
      <c r="C2476" t="s">
        <v>9932</v>
      </c>
      <c r="D2476">
        <v>329631.28999999998</v>
      </c>
      <c r="E2476" t="s">
        <v>9933</v>
      </c>
      <c r="F2476">
        <v>7.18</v>
      </c>
      <c r="G2476">
        <v>0.86000001430511475</v>
      </c>
      <c r="H2476">
        <v>141</v>
      </c>
      <c r="I2476">
        <v>0</v>
      </c>
      <c r="J2476" t="s">
        <v>9934</v>
      </c>
      <c r="K2476">
        <v>1302</v>
      </c>
      <c r="L2476">
        <v>1013</v>
      </c>
      <c r="M2476">
        <v>-22.2</v>
      </c>
      <c r="N2476">
        <v>-1.55</v>
      </c>
      <c r="O2476">
        <v>11.32</v>
      </c>
      <c r="P2476">
        <v>-1.73</v>
      </c>
      <c r="Q2476">
        <v>-11.65</v>
      </c>
      <c r="R2476">
        <v>-8.34</v>
      </c>
      <c r="S2476">
        <v>-10.7</v>
      </c>
      <c r="T2476">
        <v>3.3</v>
      </c>
      <c r="U2476">
        <v>2.4700000000000002</v>
      </c>
      <c r="V2476">
        <v>2.38</v>
      </c>
      <c r="W2476">
        <v>3.36</v>
      </c>
      <c r="X2476">
        <v>1.68</v>
      </c>
      <c r="Y2476">
        <v>0.68</v>
      </c>
      <c r="Z2476">
        <v>0.47</v>
      </c>
      <c r="AA2476">
        <v>4.58</v>
      </c>
      <c r="AB2476">
        <v>0.73</v>
      </c>
      <c r="AC2476">
        <v>3.47</v>
      </c>
      <c r="AD2476">
        <v>4.96</v>
      </c>
      <c r="AE2476">
        <v>15.74</v>
      </c>
      <c r="AF2476">
        <v>4.9916666666666671</v>
      </c>
      <c r="AG2476" t="str">
        <f>HYPERLINK("https://finance.naver.com/item/fchart.naver?code=297570", "알로이스 차트보기")</f>
        <v>알로이스 차트보기</v>
      </c>
    </row>
    <row r="2477" spans="1:33" x14ac:dyDescent="0.3">
      <c r="A2477" t="s">
        <v>9935</v>
      </c>
      <c r="B2477" t="s">
        <v>34</v>
      </c>
      <c r="C2477" t="s">
        <v>9936</v>
      </c>
      <c r="D2477">
        <v>76439.19</v>
      </c>
      <c r="E2477" t="s">
        <v>9937</v>
      </c>
      <c r="F2477">
        <v>4.37</v>
      </c>
      <c r="G2477">
        <v>0.75999999046325684</v>
      </c>
      <c r="H2477">
        <v>7285</v>
      </c>
      <c r="I2477">
        <v>2.8299999237060551</v>
      </c>
      <c r="J2477" t="s">
        <v>9938</v>
      </c>
      <c r="K2477">
        <v>32750</v>
      </c>
      <c r="L2477">
        <v>31800</v>
      </c>
      <c r="M2477">
        <v>-2.9</v>
      </c>
      <c r="N2477">
        <v>-1.24</v>
      </c>
      <c r="O2477">
        <v>-3.21</v>
      </c>
      <c r="P2477">
        <v>8.08</v>
      </c>
      <c r="Q2477">
        <v>-10.01</v>
      </c>
      <c r="R2477">
        <v>-18.12</v>
      </c>
      <c r="S2477">
        <v>23.89</v>
      </c>
      <c r="T2477">
        <v>1.56</v>
      </c>
      <c r="U2477">
        <v>2.3199999999999998</v>
      </c>
      <c r="V2477">
        <v>2.21</v>
      </c>
      <c r="W2477">
        <v>2.77</v>
      </c>
      <c r="X2477">
        <v>1.53</v>
      </c>
      <c r="Y2477">
        <v>2.74</v>
      </c>
      <c r="Z2477">
        <v>0.79</v>
      </c>
      <c r="AA2477">
        <v>1.38</v>
      </c>
      <c r="AB2477">
        <v>3.66</v>
      </c>
      <c r="AC2477">
        <v>3.61</v>
      </c>
      <c r="AD2477">
        <v>11.84</v>
      </c>
      <c r="AE2477">
        <v>8.7200000000000006</v>
      </c>
      <c r="AF2477">
        <v>5</v>
      </c>
      <c r="AG2477" t="str">
        <f>HYPERLINK("https://finance.naver.com/item/fchart.naver?code=005850", "에스엘 차트보기")</f>
        <v>에스엘 차트보기</v>
      </c>
    </row>
    <row r="2478" spans="1:33" x14ac:dyDescent="0.3">
      <c r="A2478" t="s">
        <v>9939</v>
      </c>
      <c r="B2478" t="s">
        <v>55</v>
      </c>
      <c r="C2478" t="s">
        <v>9940</v>
      </c>
      <c r="D2478">
        <v>587173.38</v>
      </c>
      <c r="E2478" t="s">
        <v>9941</v>
      </c>
      <c r="F2478">
        <v>17.21</v>
      </c>
      <c r="G2478">
        <v>1.6000000238418579</v>
      </c>
      <c r="H2478">
        <v>278</v>
      </c>
      <c r="I2478">
        <v>0</v>
      </c>
      <c r="J2478" t="s">
        <v>9942</v>
      </c>
      <c r="K2478">
        <v>7700</v>
      </c>
      <c r="L2478">
        <v>4785</v>
      </c>
      <c r="M2478">
        <v>-37.86</v>
      </c>
      <c r="N2478">
        <v>-5.99</v>
      </c>
      <c r="O2478">
        <v>-18</v>
      </c>
      <c r="P2478">
        <v>27.49</v>
      </c>
      <c r="Q2478">
        <v>-4.95</v>
      </c>
      <c r="R2478">
        <v>-15</v>
      </c>
      <c r="S2478">
        <v>-11.31</v>
      </c>
      <c r="T2478">
        <v>1.99</v>
      </c>
      <c r="U2478">
        <v>3.29</v>
      </c>
      <c r="V2478">
        <v>6.34</v>
      </c>
      <c r="W2478">
        <v>5.33</v>
      </c>
      <c r="X2478">
        <v>1.52</v>
      </c>
      <c r="Y2478">
        <v>1.74</v>
      </c>
      <c r="Z2478">
        <v>3.01</v>
      </c>
      <c r="AA2478">
        <v>5.47</v>
      </c>
      <c r="AB2478">
        <v>4.34</v>
      </c>
      <c r="AC2478">
        <v>0.93</v>
      </c>
      <c r="AD2478">
        <v>9.8699999999999992</v>
      </c>
      <c r="AE2478">
        <v>6.5</v>
      </c>
      <c r="AF2478">
        <v>5.0199999999999996</v>
      </c>
      <c r="AG2478" t="str">
        <f>HYPERLINK("https://finance.naver.com/item/fchart.naver?code=085670", "뉴프렉스 차트보기")</f>
        <v>뉴프렉스 차트보기</v>
      </c>
    </row>
    <row r="2479" spans="1:33" x14ac:dyDescent="0.3">
      <c r="A2479" t="s">
        <v>9943</v>
      </c>
      <c r="B2479" t="s">
        <v>55</v>
      </c>
      <c r="C2479" t="s">
        <v>9944</v>
      </c>
      <c r="D2479">
        <v>81079.48</v>
      </c>
      <c r="E2479" t="s">
        <v>9945</v>
      </c>
      <c r="F2479">
        <v>0</v>
      </c>
      <c r="G2479">
        <v>0.81000000238418579</v>
      </c>
      <c r="H2479">
        <v>0</v>
      </c>
      <c r="I2479">
        <v>0</v>
      </c>
      <c r="J2479" t="s">
        <v>9946</v>
      </c>
      <c r="K2479">
        <v>3750</v>
      </c>
      <c r="L2479">
        <v>2090</v>
      </c>
      <c r="M2479">
        <v>-44.27</v>
      </c>
      <c r="N2479">
        <v>0.97</v>
      </c>
      <c r="O2479">
        <v>-13.31</v>
      </c>
      <c r="P2479">
        <v>-4.4800000000000004</v>
      </c>
      <c r="Q2479">
        <v>9.5</v>
      </c>
      <c r="R2479">
        <v>-22.26</v>
      </c>
      <c r="S2479">
        <v>-16.73</v>
      </c>
      <c r="T2479">
        <v>3.06</v>
      </c>
      <c r="U2479">
        <v>1.49</v>
      </c>
      <c r="V2479">
        <v>2.36</v>
      </c>
      <c r="W2479">
        <v>5.0199999999999996</v>
      </c>
      <c r="X2479">
        <v>2.72</v>
      </c>
      <c r="Y2479">
        <v>1.87</v>
      </c>
      <c r="Z2479">
        <v>0.32</v>
      </c>
      <c r="AA2479">
        <v>8.93</v>
      </c>
      <c r="AB2479">
        <v>1.9</v>
      </c>
      <c r="AC2479">
        <v>1.89</v>
      </c>
      <c r="AD2479">
        <v>8.18</v>
      </c>
      <c r="AE2479">
        <v>8.9499999999999993</v>
      </c>
      <c r="AF2479">
        <v>5.0283333333333333</v>
      </c>
      <c r="AG2479" t="str">
        <f>HYPERLINK("https://finance.naver.com/item/fchart.naver?code=361570", "알비더블유 차트보기")</f>
        <v>알비더블유 차트보기</v>
      </c>
    </row>
    <row r="2480" spans="1:33" x14ac:dyDescent="0.3">
      <c r="A2480" t="s">
        <v>9947</v>
      </c>
      <c r="B2480" t="s">
        <v>55</v>
      </c>
      <c r="C2480" t="s">
        <v>9948</v>
      </c>
      <c r="D2480">
        <v>9339</v>
      </c>
      <c r="E2480" t="s">
        <v>9949</v>
      </c>
      <c r="F2480">
        <v>9</v>
      </c>
      <c r="G2480">
        <v>0.43000000715255737</v>
      </c>
      <c r="H2480">
        <v>633</v>
      </c>
      <c r="I2480">
        <v>5.2600002288818359</v>
      </c>
      <c r="J2480" t="s">
        <v>9950</v>
      </c>
      <c r="K2480">
        <v>9220</v>
      </c>
      <c r="L2480">
        <v>5700</v>
      </c>
      <c r="M2480">
        <v>-38.18</v>
      </c>
      <c r="N2480">
        <v>0</v>
      </c>
      <c r="O2480">
        <v>-7.94</v>
      </c>
      <c r="P2480">
        <v>-5.69</v>
      </c>
      <c r="Q2480">
        <v>-8.99</v>
      </c>
      <c r="R2480">
        <v>-22.99</v>
      </c>
      <c r="S2480">
        <v>15.07</v>
      </c>
      <c r="T2480">
        <v>1.34</v>
      </c>
      <c r="U2480">
        <v>1.98</v>
      </c>
      <c r="V2480">
        <v>1.68</v>
      </c>
      <c r="W2480">
        <v>3.1</v>
      </c>
      <c r="X2480">
        <v>1.91</v>
      </c>
      <c r="Y2480">
        <v>1.89</v>
      </c>
      <c r="Z2480">
        <v>0</v>
      </c>
      <c r="AA2480">
        <v>4.01</v>
      </c>
      <c r="AB2480">
        <v>3.39</v>
      </c>
      <c r="AC2480">
        <v>2.9</v>
      </c>
      <c r="AD2480">
        <v>12.04</v>
      </c>
      <c r="AE2480">
        <v>7.97</v>
      </c>
      <c r="AF2480">
        <v>5.0516666666666667</v>
      </c>
      <c r="AG2480" t="str">
        <f>HYPERLINK("https://finance.naver.com/item/fchart.naver?code=044340", "위닉스 차트보기")</f>
        <v>위닉스 차트보기</v>
      </c>
    </row>
    <row r="2481" spans="1:33" x14ac:dyDescent="0.3">
      <c r="A2481" t="s">
        <v>9951</v>
      </c>
      <c r="B2481" t="s">
        <v>55</v>
      </c>
      <c r="C2481" t="s">
        <v>9952</v>
      </c>
      <c r="D2481">
        <v>2517138.14</v>
      </c>
      <c r="E2481" t="s">
        <v>9953</v>
      </c>
      <c r="F2481">
        <v>0</v>
      </c>
      <c r="G2481">
        <v>1.620000004768372</v>
      </c>
      <c r="H2481">
        <v>0</v>
      </c>
      <c r="I2481">
        <v>0</v>
      </c>
      <c r="J2481" t="s">
        <v>9954</v>
      </c>
      <c r="K2481">
        <v>1094</v>
      </c>
      <c r="L2481">
        <v>1000</v>
      </c>
      <c r="M2481">
        <v>-8.59</v>
      </c>
      <c r="N2481">
        <v>-17.079999999999998</v>
      </c>
      <c r="O2481">
        <v>-6.56</v>
      </c>
      <c r="P2481">
        <v>-13.85</v>
      </c>
      <c r="Q2481">
        <v>-21.39</v>
      </c>
      <c r="R2481">
        <v>17.149999999999999</v>
      </c>
      <c r="S2481">
        <v>66.900000000000006</v>
      </c>
      <c r="T2481">
        <v>4.1399999999999997</v>
      </c>
      <c r="U2481">
        <v>4.3499999999999996</v>
      </c>
      <c r="V2481">
        <v>4.13</v>
      </c>
      <c r="W2481">
        <v>4.53</v>
      </c>
      <c r="X2481">
        <v>3.9</v>
      </c>
      <c r="Y2481">
        <v>5.48</v>
      </c>
      <c r="Z2481">
        <v>4.13</v>
      </c>
      <c r="AA2481">
        <v>1.51</v>
      </c>
      <c r="AB2481">
        <v>3.35</v>
      </c>
      <c r="AC2481">
        <v>4.72</v>
      </c>
      <c r="AD2481">
        <v>4.4000000000000004</v>
      </c>
      <c r="AE2481">
        <v>12.21</v>
      </c>
      <c r="AF2481">
        <v>5.0533333333333337</v>
      </c>
      <c r="AG2481" t="str">
        <f>HYPERLINK("https://finance.naver.com/item/fchart.naver?code=097800", "윈팩 차트보기")</f>
        <v>윈팩 차트보기</v>
      </c>
    </row>
    <row r="2482" spans="1:33" x14ac:dyDescent="0.3">
      <c r="A2482" t="s">
        <v>9955</v>
      </c>
      <c r="B2482" t="s">
        <v>55</v>
      </c>
      <c r="C2482" t="s">
        <v>9956</v>
      </c>
      <c r="D2482">
        <v>39654.949999999997</v>
      </c>
      <c r="E2482" t="s">
        <v>9957</v>
      </c>
      <c r="F2482">
        <v>0</v>
      </c>
      <c r="G2482">
        <v>0</v>
      </c>
      <c r="H2482">
        <v>0</v>
      </c>
      <c r="I2482">
        <v>0</v>
      </c>
      <c r="J2482" t="s">
        <v>9958</v>
      </c>
      <c r="K2482">
        <v>4535</v>
      </c>
      <c r="L2482">
        <v>2200</v>
      </c>
      <c r="M2482">
        <v>-51.49</v>
      </c>
      <c r="N2482">
        <v>-10.39</v>
      </c>
      <c r="O2482">
        <v>-18.03</v>
      </c>
      <c r="P2482">
        <v>26.03</v>
      </c>
      <c r="Q2482">
        <v>-16.77</v>
      </c>
      <c r="R2482">
        <v>4.7300000000000004</v>
      </c>
      <c r="S2482">
        <v>-28.62</v>
      </c>
      <c r="T2482">
        <v>2.4500000000000002</v>
      </c>
      <c r="U2482">
        <v>1.67</v>
      </c>
      <c r="V2482">
        <v>5.21</v>
      </c>
      <c r="W2482">
        <v>5.52</v>
      </c>
      <c r="X2482">
        <v>4.72</v>
      </c>
      <c r="Y2482">
        <v>4.58</v>
      </c>
      <c r="Z2482">
        <v>4.24</v>
      </c>
      <c r="AA2482">
        <v>10.8</v>
      </c>
      <c r="AB2482">
        <v>5</v>
      </c>
      <c r="AC2482">
        <v>3.04</v>
      </c>
      <c r="AD2482">
        <v>1</v>
      </c>
      <c r="AE2482">
        <v>6.25</v>
      </c>
      <c r="AF2482">
        <v>5.0549999999999997</v>
      </c>
      <c r="AG2482" t="str">
        <f>HYPERLINK("https://finance.naver.com/item/fchart.naver?code=413630", "씨피시스템 차트보기")</f>
        <v>씨피시스템 차트보기</v>
      </c>
    </row>
    <row r="2483" spans="1:33" x14ac:dyDescent="0.3">
      <c r="A2483" t="s">
        <v>9959</v>
      </c>
      <c r="B2483" t="s">
        <v>34</v>
      </c>
      <c r="C2483" t="s">
        <v>9960</v>
      </c>
      <c r="D2483">
        <v>556.29</v>
      </c>
      <c r="E2483" t="s">
        <v>9961</v>
      </c>
      <c r="F2483">
        <v>0</v>
      </c>
      <c r="G2483">
        <v>0</v>
      </c>
      <c r="H2483">
        <v>0</v>
      </c>
      <c r="I2483">
        <v>0.25999999046325678</v>
      </c>
      <c r="J2483" t="s">
        <v>9962</v>
      </c>
      <c r="K2483">
        <v>399000</v>
      </c>
      <c r="L2483">
        <v>399500</v>
      </c>
      <c r="M2483">
        <v>0.13</v>
      </c>
      <c r="N2483">
        <v>0.25</v>
      </c>
      <c r="O2483">
        <v>4.16</v>
      </c>
      <c r="P2483">
        <v>27.6</v>
      </c>
      <c r="Q2483">
        <v>-11.6</v>
      </c>
      <c r="R2483">
        <v>-8.4700000000000006</v>
      </c>
      <c r="S2483">
        <v>11.23</v>
      </c>
      <c r="T2483">
        <v>0.55000000000000004</v>
      </c>
      <c r="U2483">
        <v>1.44</v>
      </c>
      <c r="V2483">
        <v>4.34</v>
      </c>
      <c r="W2483">
        <v>2.2400000000000002</v>
      </c>
      <c r="X2483">
        <v>0.92</v>
      </c>
      <c r="Y2483">
        <v>1.79</v>
      </c>
      <c r="Z2483">
        <v>0.45</v>
      </c>
      <c r="AA2483">
        <v>2.89</v>
      </c>
      <c r="AB2483">
        <v>6.36</v>
      </c>
      <c r="AC2483">
        <v>5.18</v>
      </c>
      <c r="AD2483">
        <v>9.2100000000000009</v>
      </c>
      <c r="AE2483">
        <v>6.27</v>
      </c>
      <c r="AF2483">
        <v>5.0599999999999996</v>
      </c>
      <c r="AG2483" t="str">
        <f>HYPERLINK("https://finance.naver.com/item/fchart.naver?code=003925", "남양유업우 차트보기")</f>
        <v>남양유업우 차트보기</v>
      </c>
    </row>
    <row r="2484" spans="1:33" x14ac:dyDescent="0.3">
      <c r="A2484" t="s">
        <v>9963</v>
      </c>
      <c r="B2484" t="s">
        <v>55</v>
      </c>
      <c r="C2484" t="s">
        <v>9964</v>
      </c>
      <c r="D2484">
        <v>7308493.8600000003</v>
      </c>
      <c r="E2484" t="s">
        <v>9965</v>
      </c>
      <c r="F2484">
        <v>8.81</v>
      </c>
      <c r="G2484">
        <v>0.52999997138977051</v>
      </c>
      <c r="H2484">
        <v>167</v>
      </c>
      <c r="I2484">
        <v>0</v>
      </c>
      <c r="J2484" t="s">
        <v>9966</v>
      </c>
      <c r="K2484">
        <v>1457</v>
      </c>
      <c r="L2484">
        <v>1471</v>
      </c>
      <c r="M2484">
        <v>0.96</v>
      </c>
      <c r="N2484">
        <v>-12.86</v>
      </c>
      <c r="O2484">
        <v>-14.62</v>
      </c>
      <c r="P2484">
        <v>-6.31</v>
      </c>
      <c r="Q2484">
        <v>-7.93</v>
      </c>
      <c r="R2484">
        <v>72.540000000000006</v>
      </c>
      <c r="S2484">
        <v>-7.12</v>
      </c>
      <c r="T2484">
        <v>7.44</v>
      </c>
      <c r="U2484">
        <v>1.79</v>
      </c>
      <c r="V2484">
        <v>6.59</v>
      </c>
      <c r="W2484">
        <v>5.28</v>
      </c>
      <c r="X2484">
        <v>5.14</v>
      </c>
      <c r="Y2484">
        <v>1.81</v>
      </c>
      <c r="Z2484">
        <v>1.73</v>
      </c>
      <c r="AA2484">
        <v>8.17</v>
      </c>
      <c r="AB2484">
        <v>0.96</v>
      </c>
      <c r="AC2484">
        <v>1.5</v>
      </c>
      <c r="AD2484">
        <v>14.11</v>
      </c>
      <c r="AE2484">
        <v>3.93</v>
      </c>
      <c r="AF2484">
        <v>5.0666666666666664</v>
      </c>
      <c r="AG2484" t="str">
        <f>HYPERLINK("https://finance.naver.com/item/fchart.naver?code=052420", "오성첨단소재 차트보기")</f>
        <v>오성첨단소재 차트보기</v>
      </c>
    </row>
    <row r="2485" spans="1:33" x14ac:dyDescent="0.3">
      <c r="A2485" t="s">
        <v>9967</v>
      </c>
      <c r="B2485" t="s">
        <v>55</v>
      </c>
      <c r="C2485" t="s">
        <v>9968</v>
      </c>
      <c r="D2485">
        <v>33821.1</v>
      </c>
      <c r="E2485" t="s">
        <v>9969</v>
      </c>
      <c r="F2485">
        <v>4.97</v>
      </c>
      <c r="G2485">
        <v>0.37000000476837158</v>
      </c>
      <c r="H2485">
        <v>906</v>
      </c>
      <c r="I2485">
        <v>0</v>
      </c>
      <c r="J2485" t="s">
        <v>9970</v>
      </c>
      <c r="K2485">
        <v>6640</v>
      </c>
      <c r="L2485">
        <v>4500</v>
      </c>
      <c r="M2485">
        <v>-32.229999999999997</v>
      </c>
      <c r="N2485">
        <v>16.13</v>
      </c>
      <c r="O2485">
        <v>-6.36</v>
      </c>
      <c r="P2485">
        <v>-6.45</v>
      </c>
      <c r="Q2485">
        <v>-10.01</v>
      </c>
      <c r="R2485">
        <v>-10.76</v>
      </c>
      <c r="S2485">
        <v>-9.69</v>
      </c>
      <c r="T2485">
        <v>2.11</v>
      </c>
      <c r="U2485">
        <v>1.48</v>
      </c>
      <c r="V2485">
        <v>2.09</v>
      </c>
      <c r="W2485">
        <v>3.71</v>
      </c>
      <c r="X2485">
        <v>1.84</v>
      </c>
      <c r="Y2485">
        <v>1.42</v>
      </c>
      <c r="Z2485">
        <v>7.64</v>
      </c>
      <c r="AA2485">
        <v>4.3</v>
      </c>
      <c r="AB2485">
        <v>3.09</v>
      </c>
      <c r="AC2485">
        <v>2.7</v>
      </c>
      <c r="AD2485">
        <v>5.85</v>
      </c>
      <c r="AE2485">
        <v>6.82</v>
      </c>
      <c r="AF2485">
        <v>5.0666666666666664</v>
      </c>
      <c r="AG2485" t="str">
        <f>HYPERLINK("https://finance.naver.com/item/fchart.naver?code=065130", "탑엔지니어링 차트보기")</f>
        <v>탑엔지니어링 차트보기</v>
      </c>
    </row>
    <row r="2486" spans="1:33" x14ac:dyDescent="0.3">
      <c r="A2486" t="s">
        <v>9971</v>
      </c>
      <c r="B2486" t="s">
        <v>34</v>
      </c>
      <c r="C2486" t="s">
        <v>9972</v>
      </c>
      <c r="D2486">
        <v>34554.9</v>
      </c>
      <c r="E2486" t="s">
        <v>9973</v>
      </c>
      <c r="F2486">
        <v>89.68</v>
      </c>
      <c r="G2486">
        <v>0.2099999934434891</v>
      </c>
      <c r="H2486">
        <v>31</v>
      </c>
      <c r="I2486">
        <v>0</v>
      </c>
      <c r="J2486" t="s">
        <v>9974</v>
      </c>
      <c r="K2486">
        <v>4220</v>
      </c>
      <c r="L2486">
        <v>2780</v>
      </c>
      <c r="M2486">
        <v>-34.119999999999997</v>
      </c>
      <c r="N2486">
        <v>-1.77</v>
      </c>
      <c r="O2486">
        <v>-9.69</v>
      </c>
      <c r="P2486">
        <v>-7.03</v>
      </c>
      <c r="Q2486">
        <v>-6.52</v>
      </c>
      <c r="R2486">
        <v>-3.35</v>
      </c>
      <c r="S2486">
        <v>-3.92</v>
      </c>
      <c r="T2486">
        <v>1.51</v>
      </c>
      <c r="U2486">
        <v>0.66</v>
      </c>
      <c r="V2486">
        <v>0.82</v>
      </c>
      <c r="W2486">
        <v>3.09</v>
      </c>
      <c r="X2486">
        <v>1.54</v>
      </c>
      <c r="Y2486">
        <v>2.2400000000000002</v>
      </c>
      <c r="Z2486">
        <v>1.17</v>
      </c>
      <c r="AA2486">
        <v>14.68</v>
      </c>
      <c r="AB2486">
        <v>8.57</v>
      </c>
      <c r="AC2486">
        <v>2.11</v>
      </c>
      <c r="AD2486">
        <v>2.1800000000000002</v>
      </c>
      <c r="AE2486">
        <v>1.75</v>
      </c>
      <c r="AF2486">
        <v>5.0766666666666671</v>
      </c>
      <c r="AG2486" t="str">
        <f>HYPERLINK("https://finance.naver.com/item/fchart.naver?code=002990", "금호건설 차트보기")</f>
        <v>금호건설 차트보기</v>
      </c>
    </row>
    <row r="2487" spans="1:33" x14ac:dyDescent="0.3">
      <c r="A2487" t="s">
        <v>9975</v>
      </c>
      <c r="B2487" t="s">
        <v>55</v>
      </c>
      <c r="C2487" t="s">
        <v>9976</v>
      </c>
      <c r="D2487">
        <v>475818.38</v>
      </c>
      <c r="E2487" t="s">
        <v>9977</v>
      </c>
      <c r="F2487">
        <v>0</v>
      </c>
      <c r="G2487">
        <v>2.3299999237060551</v>
      </c>
      <c r="H2487">
        <v>0</v>
      </c>
      <c r="I2487">
        <v>0</v>
      </c>
      <c r="J2487" t="s">
        <v>9978</v>
      </c>
      <c r="K2487">
        <v>7180</v>
      </c>
      <c r="L2487">
        <v>5450</v>
      </c>
      <c r="M2487">
        <v>-24.09</v>
      </c>
      <c r="N2487">
        <v>67.69</v>
      </c>
      <c r="O2487">
        <v>-30.92</v>
      </c>
      <c r="P2487">
        <v>-7.65</v>
      </c>
      <c r="Q2487">
        <v>-22.72</v>
      </c>
      <c r="R2487">
        <v>-9.02</v>
      </c>
      <c r="S2487">
        <v>-1.79</v>
      </c>
      <c r="T2487">
        <v>19.510000000000002</v>
      </c>
      <c r="U2487">
        <v>2.1</v>
      </c>
      <c r="V2487">
        <v>2.52</v>
      </c>
      <c r="W2487">
        <v>4.51</v>
      </c>
      <c r="X2487">
        <v>2.71</v>
      </c>
      <c r="Y2487">
        <v>1.88</v>
      </c>
      <c r="Z2487">
        <v>3.47</v>
      </c>
      <c r="AA2487">
        <v>14.72</v>
      </c>
      <c r="AB2487">
        <v>3.04</v>
      </c>
      <c r="AC2487">
        <v>5.04</v>
      </c>
      <c r="AD2487">
        <v>3.33</v>
      </c>
      <c r="AE2487">
        <v>0.95</v>
      </c>
      <c r="AF2487">
        <v>5.0916666666666668</v>
      </c>
      <c r="AG2487" t="str">
        <f>HYPERLINK("https://finance.naver.com/item/fchart.naver?code=234920", "자이글 차트보기")</f>
        <v>자이글 차트보기</v>
      </c>
    </row>
    <row r="2488" spans="1:33" x14ac:dyDescent="0.3">
      <c r="A2488" t="s">
        <v>9979</v>
      </c>
      <c r="B2488" t="s">
        <v>55</v>
      </c>
      <c r="C2488" t="s">
        <v>9980</v>
      </c>
      <c r="D2488">
        <v>21174.05</v>
      </c>
      <c r="E2488" t="s">
        <v>9981</v>
      </c>
      <c r="F2488">
        <v>9.0399999999999991</v>
      </c>
      <c r="G2488">
        <v>0.51999998092651367</v>
      </c>
      <c r="H2488">
        <v>667</v>
      </c>
      <c r="I2488">
        <v>0</v>
      </c>
      <c r="J2488" t="s">
        <v>9982</v>
      </c>
      <c r="K2488">
        <v>6810</v>
      </c>
      <c r="L2488">
        <v>6030</v>
      </c>
      <c r="M2488">
        <v>-11.45</v>
      </c>
      <c r="N2488">
        <v>-3.52</v>
      </c>
      <c r="O2488">
        <v>17.260000000000002</v>
      </c>
      <c r="P2488">
        <v>-6.97</v>
      </c>
      <c r="Q2488">
        <v>-11.36</v>
      </c>
      <c r="R2488">
        <v>-11.95</v>
      </c>
      <c r="S2488">
        <v>17.5</v>
      </c>
      <c r="T2488">
        <v>1.65</v>
      </c>
      <c r="U2488">
        <v>1.49</v>
      </c>
      <c r="V2488">
        <v>2.1800000000000002</v>
      </c>
      <c r="W2488">
        <v>3.93</v>
      </c>
      <c r="X2488">
        <v>1.98</v>
      </c>
      <c r="Y2488">
        <v>3.68</v>
      </c>
      <c r="Z2488">
        <v>2.13</v>
      </c>
      <c r="AA2488">
        <v>11.58</v>
      </c>
      <c r="AB2488">
        <v>3.2</v>
      </c>
      <c r="AC2488">
        <v>2.89</v>
      </c>
      <c r="AD2488">
        <v>6.04</v>
      </c>
      <c r="AE2488">
        <v>4.76</v>
      </c>
      <c r="AF2488">
        <v>5.1000000000000014</v>
      </c>
      <c r="AG2488" t="str">
        <f>HYPERLINK("https://finance.naver.com/item/fchart.naver?code=054620", "APS 차트보기")</f>
        <v>APS 차트보기</v>
      </c>
    </row>
    <row r="2489" spans="1:33" x14ac:dyDescent="0.3">
      <c r="A2489" t="s">
        <v>9983</v>
      </c>
      <c r="B2489" t="s">
        <v>55</v>
      </c>
      <c r="C2489" t="s">
        <v>9984</v>
      </c>
      <c r="D2489">
        <v>33928.57</v>
      </c>
      <c r="E2489" t="s">
        <v>9985</v>
      </c>
      <c r="F2489">
        <v>19.7</v>
      </c>
      <c r="G2489">
        <v>0.50999999046325684</v>
      </c>
      <c r="H2489">
        <v>201</v>
      </c>
      <c r="I2489">
        <v>2.529999971389771</v>
      </c>
      <c r="J2489" t="s">
        <v>9986</v>
      </c>
      <c r="K2489">
        <v>9010</v>
      </c>
      <c r="L2489">
        <v>3960</v>
      </c>
      <c r="M2489">
        <v>-56.05</v>
      </c>
      <c r="N2489">
        <v>-0.38</v>
      </c>
      <c r="O2489">
        <v>-16.170000000000002</v>
      </c>
      <c r="P2489">
        <v>-7.48</v>
      </c>
      <c r="Q2489">
        <v>-12.38</v>
      </c>
      <c r="R2489">
        <v>-18.14</v>
      </c>
      <c r="S2489">
        <v>-12.47</v>
      </c>
      <c r="T2489">
        <v>2.64</v>
      </c>
      <c r="U2489">
        <v>1.89</v>
      </c>
      <c r="V2489">
        <v>2.2999999999999998</v>
      </c>
      <c r="W2489">
        <v>4.54</v>
      </c>
      <c r="X2489">
        <v>1.74</v>
      </c>
      <c r="Y2489">
        <v>2.2599999999999998</v>
      </c>
      <c r="Z2489">
        <v>0.14000000000000001</v>
      </c>
      <c r="AA2489">
        <v>8.56</v>
      </c>
      <c r="AB2489">
        <v>3.25</v>
      </c>
      <c r="AC2489">
        <v>2.73</v>
      </c>
      <c r="AD2489">
        <v>10.43</v>
      </c>
      <c r="AE2489">
        <v>5.52</v>
      </c>
      <c r="AF2489">
        <v>5.1050000000000004</v>
      </c>
      <c r="AG2489" t="str">
        <f>HYPERLINK("https://finance.naver.com/item/fchart.naver?code=251630", "브이원텍 차트보기")</f>
        <v>브이원텍 차트보기</v>
      </c>
    </row>
    <row r="2490" spans="1:33" x14ac:dyDescent="0.3">
      <c r="A2490" t="s">
        <v>9987</v>
      </c>
      <c r="B2490" t="s">
        <v>55</v>
      </c>
      <c r="C2490" t="s">
        <v>9988</v>
      </c>
      <c r="D2490">
        <v>169627.95</v>
      </c>
      <c r="E2490" t="s">
        <v>9989</v>
      </c>
      <c r="F2490">
        <v>0</v>
      </c>
      <c r="G2490">
        <v>3.2400000095367432</v>
      </c>
      <c r="H2490">
        <v>0</v>
      </c>
      <c r="I2490">
        <v>0</v>
      </c>
      <c r="J2490" t="s">
        <v>9990</v>
      </c>
      <c r="K2490">
        <v>2930</v>
      </c>
      <c r="L2490">
        <v>3845</v>
      </c>
      <c r="M2490">
        <v>31.23</v>
      </c>
      <c r="N2490">
        <v>10.49</v>
      </c>
      <c r="O2490">
        <v>-13.71</v>
      </c>
      <c r="P2490">
        <v>-10.85</v>
      </c>
      <c r="Q2490">
        <v>-29.23</v>
      </c>
      <c r="R2490">
        <v>-10.69</v>
      </c>
      <c r="S2490">
        <v>105.02</v>
      </c>
      <c r="T2490">
        <v>5.01</v>
      </c>
      <c r="U2490">
        <v>2.91</v>
      </c>
      <c r="V2490">
        <v>4.01</v>
      </c>
      <c r="W2490">
        <v>3.48</v>
      </c>
      <c r="X2490">
        <v>6.24</v>
      </c>
      <c r="Y2490">
        <v>9.4600000000000009</v>
      </c>
      <c r="Z2490">
        <v>2.09</v>
      </c>
      <c r="AA2490">
        <v>4.71</v>
      </c>
      <c r="AB2490">
        <v>2.71</v>
      </c>
      <c r="AC2490">
        <v>8.4</v>
      </c>
      <c r="AD2490">
        <v>1.71</v>
      </c>
      <c r="AE2490">
        <v>11.1</v>
      </c>
      <c r="AF2490">
        <v>5.12</v>
      </c>
      <c r="AG2490" t="str">
        <f>HYPERLINK("https://finance.naver.com/item/fchart.naver?code=064090", "인크레더블버즈 차트보기")</f>
        <v>인크레더블버즈 차트보기</v>
      </c>
    </row>
    <row r="2491" spans="1:33" x14ac:dyDescent="0.3">
      <c r="A2491" t="s">
        <v>9991</v>
      </c>
      <c r="B2491" t="s">
        <v>34</v>
      </c>
      <c r="C2491" t="s">
        <v>9992</v>
      </c>
      <c r="D2491">
        <v>129364.95</v>
      </c>
      <c r="E2491" t="s">
        <v>9993</v>
      </c>
      <c r="F2491">
        <v>0</v>
      </c>
      <c r="G2491">
        <v>0.52999997138977051</v>
      </c>
      <c r="H2491">
        <v>0</v>
      </c>
      <c r="I2491">
        <v>0</v>
      </c>
      <c r="J2491" t="s">
        <v>9994</v>
      </c>
      <c r="K2491">
        <v>1424</v>
      </c>
      <c r="L2491">
        <v>1314</v>
      </c>
      <c r="M2491">
        <v>-7.72</v>
      </c>
      <c r="N2491">
        <v>29.84</v>
      </c>
      <c r="O2491">
        <v>-12.55</v>
      </c>
      <c r="P2491">
        <v>-6.72</v>
      </c>
      <c r="Q2491">
        <v>-9.26</v>
      </c>
      <c r="R2491">
        <v>10.61</v>
      </c>
      <c r="S2491">
        <v>-9.85</v>
      </c>
      <c r="T2491">
        <v>11.33</v>
      </c>
      <c r="U2491">
        <v>1.76</v>
      </c>
      <c r="V2491">
        <v>1.53</v>
      </c>
      <c r="W2491">
        <v>3.46</v>
      </c>
      <c r="X2491">
        <v>2.97</v>
      </c>
      <c r="Y2491">
        <v>0.95</v>
      </c>
      <c r="Z2491">
        <v>2.63</v>
      </c>
      <c r="AA2491">
        <v>7.13</v>
      </c>
      <c r="AB2491">
        <v>4.3899999999999997</v>
      </c>
      <c r="AC2491">
        <v>2.68</v>
      </c>
      <c r="AD2491">
        <v>3.57</v>
      </c>
      <c r="AE2491">
        <v>10.37</v>
      </c>
      <c r="AF2491">
        <v>5.128333333333333</v>
      </c>
      <c r="AG2491" t="str">
        <f>HYPERLINK("https://finance.naver.com/item/fchart.naver?code=002410", "범양건영 차트보기")</f>
        <v>범양건영 차트보기</v>
      </c>
    </row>
    <row r="2492" spans="1:33" x14ac:dyDescent="0.3">
      <c r="A2492" t="s">
        <v>9995</v>
      </c>
      <c r="B2492" t="s">
        <v>55</v>
      </c>
      <c r="C2492" t="s">
        <v>9996</v>
      </c>
      <c r="D2492">
        <v>20661.14</v>
      </c>
      <c r="E2492" t="s">
        <v>9997</v>
      </c>
      <c r="F2492">
        <v>2.5099999999999998</v>
      </c>
      <c r="G2492">
        <v>0.52999997138977051</v>
      </c>
      <c r="H2492">
        <v>8474</v>
      </c>
      <c r="I2492">
        <v>1.4099999666213989</v>
      </c>
      <c r="J2492" t="s">
        <v>9998</v>
      </c>
      <c r="K2492">
        <v>20500</v>
      </c>
      <c r="L2492">
        <v>21300</v>
      </c>
      <c r="M2492">
        <v>3.9</v>
      </c>
      <c r="N2492">
        <v>1.91</v>
      </c>
      <c r="O2492">
        <v>-22.44</v>
      </c>
      <c r="P2492">
        <v>36.79</v>
      </c>
      <c r="Q2492">
        <v>-5.73</v>
      </c>
      <c r="R2492">
        <v>13.45</v>
      </c>
      <c r="S2492">
        <v>-6.53</v>
      </c>
      <c r="T2492">
        <v>2.9</v>
      </c>
      <c r="U2492">
        <v>2.7</v>
      </c>
      <c r="V2492">
        <v>4.32</v>
      </c>
      <c r="W2492">
        <v>4.59</v>
      </c>
      <c r="X2492">
        <v>2.13</v>
      </c>
      <c r="Y2492">
        <v>1.1299999999999999</v>
      </c>
      <c r="Z2492">
        <v>0.66</v>
      </c>
      <c r="AA2492">
        <v>8.31</v>
      </c>
      <c r="AB2492">
        <v>8.52</v>
      </c>
      <c r="AC2492">
        <v>1.25</v>
      </c>
      <c r="AD2492">
        <v>6.31</v>
      </c>
      <c r="AE2492">
        <v>5.78</v>
      </c>
      <c r="AF2492">
        <v>5.1383333333333336</v>
      </c>
      <c r="AG2492" t="str">
        <f>HYPERLINK("https://finance.naver.com/item/fchart.naver?code=018310", "삼목에스폼 차트보기")</f>
        <v>삼목에스폼 차트보기</v>
      </c>
    </row>
    <row r="2493" spans="1:33" x14ac:dyDescent="0.3">
      <c r="A2493" t="s">
        <v>9999</v>
      </c>
      <c r="B2493" t="s">
        <v>34</v>
      </c>
      <c r="C2493" t="s">
        <v>10000</v>
      </c>
      <c r="D2493">
        <v>1808.19</v>
      </c>
      <c r="E2493" t="s">
        <v>10001</v>
      </c>
      <c r="F2493">
        <v>12.38</v>
      </c>
      <c r="G2493">
        <v>0.1800000071525574</v>
      </c>
      <c r="H2493">
        <v>9283</v>
      </c>
      <c r="I2493">
        <v>0.64999997615814209</v>
      </c>
      <c r="J2493" t="s">
        <v>10002</v>
      </c>
      <c r="K2493">
        <v>110600</v>
      </c>
      <c r="L2493">
        <v>114900</v>
      </c>
      <c r="M2493">
        <v>3.89</v>
      </c>
      <c r="N2493">
        <v>-2.63</v>
      </c>
      <c r="O2493">
        <v>-4.3899999999999997</v>
      </c>
      <c r="P2493">
        <v>23.15</v>
      </c>
      <c r="Q2493">
        <v>-2.4300000000000002</v>
      </c>
      <c r="R2493">
        <v>-4.7300000000000004</v>
      </c>
      <c r="S2493">
        <v>-1.7</v>
      </c>
      <c r="T2493">
        <v>0.81</v>
      </c>
      <c r="U2493">
        <v>0.96</v>
      </c>
      <c r="V2493">
        <v>1.93</v>
      </c>
      <c r="W2493">
        <v>1.8</v>
      </c>
      <c r="X2493">
        <v>0.66</v>
      </c>
      <c r="Y2493">
        <v>0.67</v>
      </c>
      <c r="Z2493">
        <v>3.25</v>
      </c>
      <c r="AA2493">
        <v>4.57</v>
      </c>
      <c r="AB2493">
        <v>11.99</v>
      </c>
      <c r="AC2493">
        <v>1.35</v>
      </c>
      <c r="AD2493">
        <v>7.17</v>
      </c>
      <c r="AE2493">
        <v>2.54</v>
      </c>
      <c r="AF2493">
        <v>5.1449999999999996</v>
      </c>
      <c r="AG2493" t="str">
        <f>HYPERLINK("https://finance.naver.com/item/fchart.naver?code=003830", "대한화섬 차트보기")</f>
        <v>대한화섬 차트보기</v>
      </c>
    </row>
    <row r="2494" spans="1:33" x14ac:dyDescent="0.3">
      <c r="A2494" t="s">
        <v>10003</v>
      </c>
      <c r="B2494" t="s">
        <v>34</v>
      </c>
      <c r="C2494" t="s">
        <v>10004</v>
      </c>
      <c r="D2494">
        <v>8254.7099999999991</v>
      </c>
      <c r="E2494" t="s">
        <v>10005</v>
      </c>
      <c r="F2494">
        <v>0</v>
      </c>
      <c r="G2494">
        <v>0.5</v>
      </c>
      <c r="H2494">
        <v>0</v>
      </c>
      <c r="I2494">
        <v>0</v>
      </c>
      <c r="J2494" t="s">
        <v>10006</v>
      </c>
      <c r="K2494">
        <v>9220</v>
      </c>
      <c r="L2494">
        <v>4965</v>
      </c>
      <c r="M2494">
        <v>-46.15</v>
      </c>
      <c r="N2494">
        <v>-3.22</v>
      </c>
      <c r="O2494">
        <v>-11.71</v>
      </c>
      <c r="P2494">
        <v>-0.17</v>
      </c>
      <c r="Q2494">
        <v>-11.16</v>
      </c>
      <c r="R2494">
        <v>-19.010000000000002</v>
      </c>
      <c r="S2494">
        <v>-7.63</v>
      </c>
      <c r="T2494">
        <v>2.76</v>
      </c>
      <c r="U2494">
        <v>1.77</v>
      </c>
      <c r="V2494">
        <v>1.92</v>
      </c>
      <c r="W2494">
        <v>4.29</v>
      </c>
      <c r="X2494">
        <v>2.0699999999999998</v>
      </c>
      <c r="Y2494">
        <v>0.68</v>
      </c>
      <c r="Z2494">
        <v>1.17</v>
      </c>
      <c r="AA2494">
        <v>6.62</v>
      </c>
      <c r="AB2494">
        <v>0.09</v>
      </c>
      <c r="AC2494">
        <v>2.6</v>
      </c>
      <c r="AD2494">
        <v>9.18</v>
      </c>
      <c r="AE2494">
        <v>11.22</v>
      </c>
      <c r="AF2494">
        <v>5.1466666666666674</v>
      </c>
      <c r="AG2494" t="str">
        <f>HYPERLINK("https://finance.naver.com/item/fchart.naver?code=308170", "씨티알모빌리티 차트보기")</f>
        <v>씨티알모빌리티 차트보기</v>
      </c>
    </row>
    <row r="2495" spans="1:33" x14ac:dyDescent="0.3">
      <c r="A2495" t="s">
        <v>10007</v>
      </c>
      <c r="B2495" t="s">
        <v>55</v>
      </c>
      <c r="C2495" t="s">
        <v>10008</v>
      </c>
      <c r="D2495">
        <v>112673.76</v>
      </c>
      <c r="E2495" t="s">
        <v>10009</v>
      </c>
      <c r="F2495">
        <v>17.09</v>
      </c>
      <c r="G2495">
        <v>3.1099998950958252</v>
      </c>
      <c r="H2495">
        <v>3142</v>
      </c>
      <c r="I2495">
        <v>0</v>
      </c>
      <c r="J2495" t="s">
        <v>10010</v>
      </c>
      <c r="K2495">
        <v>80700</v>
      </c>
      <c r="L2495">
        <v>53700</v>
      </c>
      <c r="M2495">
        <v>-33.46</v>
      </c>
      <c r="N2495">
        <v>-15.43</v>
      </c>
      <c r="O2495">
        <v>-24.89</v>
      </c>
      <c r="P2495">
        <v>-10.56</v>
      </c>
      <c r="Q2495">
        <v>-15.66</v>
      </c>
      <c r="R2495">
        <v>-6.76</v>
      </c>
      <c r="S2495">
        <v>47.98</v>
      </c>
      <c r="T2495">
        <v>6.02</v>
      </c>
      <c r="U2495">
        <v>2.19</v>
      </c>
      <c r="V2495">
        <v>4.21</v>
      </c>
      <c r="W2495">
        <v>5.68</v>
      </c>
      <c r="X2495">
        <v>3.55</v>
      </c>
      <c r="Y2495">
        <v>4.9000000000000004</v>
      </c>
      <c r="Z2495">
        <v>2.56</v>
      </c>
      <c r="AA2495">
        <v>11.37</v>
      </c>
      <c r="AB2495">
        <v>2.5099999999999998</v>
      </c>
      <c r="AC2495">
        <v>2.76</v>
      </c>
      <c r="AD2495">
        <v>1.9</v>
      </c>
      <c r="AE2495">
        <v>9.7899999999999991</v>
      </c>
      <c r="AF2495">
        <v>5.1483333333333334</v>
      </c>
      <c r="AG2495" t="str">
        <f>HYPERLINK("https://finance.naver.com/item/fchart.naver?code=352480", "씨앤씨인터내셔널 차트보기")</f>
        <v>씨앤씨인터내셔널 차트보기</v>
      </c>
    </row>
    <row r="2496" spans="1:33" x14ac:dyDescent="0.3">
      <c r="A2496" t="s">
        <v>10011</v>
      </c>
      <c r="B2496" t="s">
        <v>55</v>
      </c>
      <c r="C2496" t="s">
        <v>10012</v>
      </c>
      <c r="D2496">
        <v>67613.05</v>
      </c>
      <c r="E2496" t="s">
        <v>10013</v>
      </c>
      <c r="F2496">
        <v>0</v>
      </c>
      <c r="G2496">
        <v>4.130000114440918</v>
      </c>
      <c r="H2496">
        <v>0</v>
      </c>
      <c r="I2496">
        <v>0</v>
      </c>
      <c r="J2496" t="s">
        <v>10014</v>
      </c>
      <c r="K2496">
        <v>6100</v>
      </c>
      <c r="L2496">
        <v>3000</v>
      </c>
      <c r="M2496">
        <v>-50.82</v>
      </c>
      <c r="N2496">
        <v>-3.54</v>
      </c>
      <c r="O2496">
        <v>-21.55</v>
      </c>
      <c r="P2496">
        <v>12.01</v>
      </c>
      <c r="Q2496">
        <v>-6.63</v>
      </c>
      <c r="R2496">
        <v>-17.37</v>
      </c>
      <c r="S2496">
        <v>-15.49</v>
      </c>
      <c r="T2496">
        <v>3.25</v>
      </c>
      <c r="U2496">
        <v>2.4300000000000002</v>
      </c>
      <c r="V2496">
        <v>3.67</v>
      </c>
      <c r="W2496">
        <v>4.92</v>
      </c>
      <c r="X2496">
        <v>3.34</v>
      </c>
      <c r="Y2496">
        <v>1.39</v>
      </c>
      <c r="Z2496">
        <v>1.0900000000000001</v>
      </c>
      <c r="AA2496">
        <v>8.8699999999999992</v>
      </c>
      <c r="AB2496">
        <v>3.27</v>
      </c>
      <c r="AC2496">
        <v>1.35</v>
      </c>
      <c r="AD2496">
        <v>5.2</v>
      </c>
      <c r="AE2496">
        <v>11.14</v>
      </c>
      <c r="AF2496">
        <v>5.1533333333333333</v>
      </c>
      <c r="AG2496" t="str">
        <f>HYPERLINK("https://finance.naver.com/item/fchart.naver?code=418420", "라온텍 차트보기")</f>
        <v>라온텍 차트보기</v>
      </c>
    </row>
    <row r="2497" spans="1:33" x14ac:dyDescent="0.3">
      <c r="A2497" t="s">
        <v>10015</v>
      </c>
      <c r="B2497" t="s">
        <v>55</v>
      </c>
      <c r="C2497" t="s">
        <v>10016</v>
      </c>
      <c r="D2497">
        <v>37360.9</v>
      </c>
      <c r="E2497" t="s">
        <v>10017</v>
      </c>
      <c r="F2497">
        <v>0</v>
      </c>
      <c r="G2497">
        <v>1.529999971389771</v>
      </c>
      <c r="H2497">
        <v>0</v>
      </c>
      <c r="I2497">
        <v>0</v>
      </c>
      <c r="J2497" t="s">
        <v>10018</v>
      </c>
      <c r="K2497">
        <v>1766</v>
      </c>
      <c r="L2497">
        <v>1237</v>
      </c>
      <c r="M2497">
        <v>-29.95</v>
      </c>
      <c r="N2497">
        <v>-10.039999999999999</v>
      </c>
      <c r="O2497">
        <v>-14.96</v>
      </c>
      <c r="P2497">
        <v>3.49</v>
      </c>
      <c r="Q2497">
        <v>-15.37</v>
      </c>
      <c r="R2497">
        <v>14.95</v>
      </c>
      <c r="S2497">
        <v>-7.66</v>
      </c>
      <c r="T2497">
        <v>2.64</v>
      </c>
      <c r="U2497">
        <v>1.46</v>
      </c>
      <c r="V2497">
        <v>4.01</v>
      </c>
      <c r="W2497">
        <v>2.6</v>
      </c>
      <c r="X2497">
        <v>2.69</v>
      </c>
      <c r="Y2497">
        <v>1.69</v>
      </c>
      <c r="Z2497">
        <v>3.8</v>
      </c>
      <c r="AA2497">
        <v>10.25</v>
      </c>
      <c r="AB2497">
        <v>0.87</v>
      </c>
      <c r="AC2497">
        <v>5.91</v>
      </c>
      <c r="AD2497">
        <v>5.56</v>
      </c>
      <c r="AE2497">
        <v>4.53</v>
      </c>
      <c r="AF2497">
        <v>5.1533333333333333</v>
      </c>
      <c r="AG2497" t="str">
        <f>HYPERLINK("https://finance.naver.com/item/fchart.naver?code=080530", "코디 차트보기")</f>
        <v>코디 차트보기</v>
      </c>
    </row>
    <row r="2498" spans="1:33" x14ac:dyDescent="0.3">
      <c r="A2498" t="s">
        <v>10019</v>
      </c>
      <c r="B2498" t="s">
        <v>55</v>
      </c>
      <c r="C2498" t="s">
        <v>10020</v>
      </c>
      <c r="D2498">
        <v>152456.43</v>
      </c>
      <c r="E2498" t="s">
        <v>10021</v>
      </c>
      <c r="F2498">
        <v>4.37</v>
      </c>
      <c r="G2498">
        <v>0.33000001311302191</v>
      </c>
      <c r="H2498">
        <v>124</v>
      </c>
      <c r="I2498">
        <v>0</v>
      </c>
      <c r="J2498" t="s">
        <v>10022</v>
      </c>
      <c r="K2498">
        <v>703</v>
      </c>
      <c r="L2498">
        <v>542</v>
      </c>
      <c r="M2498">
        <v>-22.9</v>
      </c>
      <c r="N2498">
        <v>2.46</v>
      </c>
      <c r="O2498">
        <v>-9.52</v>
      </c>
      <c r="P2498">
        <v>-2.74</v>
      </c>
      <c r="Q2498">
        <v>-6.43</v>
      </c>
      <c r="R2498">
        <v>-4.87</v>
      </c>
      <c r="S2498">
        <v>-6.63</v>
      </c>
      <c r="T2498">
        <v>1.41</v>
      </c>
      <c r="U2498">
        <v>1.06</v>
      </c>
      <c r="V2498">
        <v>1.92</v>
      </c>
      <c r="W2498">
        <v>3.28</v>
      </c>
      <c r="X2498">
        <v>0.9</v>
      </c>
      <c r="Y2498">
        <v>0.57999999999999996</v>
      </c>
      <c r="Z2498">
        <v>1.74</v>
      </c>
      <c r="AA2498">
        <v>8.98</v>
      </c>
      <c r="AB2498">
        <v>1.43</v>
      </c>
      <c r="AC2498">
        <v>1.96</v>
      </c>
      <c r="AD2498">
        <v>5.41</v>
      </c>
      <c r="AE2498">
        <v>11.43</v>
      </c>
      <c r="AF2498">
        <v>5.1583333333333332</v>
      </c>
      <c r="AG2498" t="str">
        <f>HYPERLINK("https://finance.naver.com/item/fchart.naver?code=114630", "폴라리스우노 차트보기")</f>
        <v>폴라리스우노 차트보기</v>
      </c>
    </row>
    <row r="2499" spans="1:33" x14ac:dyDescent="0.3">
      <c r="A2499" t="s">
        <v>10023</v>
      </c>
      <c r="B2499" t="s">
        <v>55</v>
      </c>
      <c r="C2499" t="s">
        <v>10024</v>
      </c>
      <c r="D2499">
        <v>23130.240000000002</v>
      </c>
      <c r="E2499" t="s">
        <v>10025</v>
      </c>
      <c r="F2499">
        <v>5.44</v>
      </c>
      <c r="G2499">
        <v>0.85000002384185791</v>
      </c>
      <c r="H2499">
        <v>2529</v>
      </c>
      <c r="I2499">
        <v>3.7100000381469731</v>
      </c>
      <c r="J2499" t="s">
        <v>10026</v>
      </c>
      <c r="K2499">
        <v>16670</v>
      </c>
      <c r="L2499">
        <v>13750</v>
      </c>
      <c r="M2499">
        <v>-17.52</v>
      </c>
      <c r="N2499">
        <v>-1.5</v>
      </c>
      <c r="O2499">
        <v>11.89</v>
      </c>
      <c r="P2499">
        <v>0.56000000000000005</v>
      </c>
      <c r="Q2499">
        <v>-13.86</v>
      </c>
      <c r="R2499">
        <v>-6.78</v>
      </c>
      <c r="S2499">
        <v>-1.81</v>
      </c>
      <c r="T2499">
        <v>0.24</v>
      </c>
      <c r="U2499">
        <v>1.73</v>
      </c>
      <c r="V2499">
        <v>1.08</v>
      </c>
      <c r="W2499">
        <v>1.95</v>
      </c>
      <c r="X2499">
        <v>0.83</v>
      </c>
      <c r="Y2499">
        <v>0.89</v>
      </c>
      <c r="Z2499">
        <v>6.25</v>
      </c>
      <c r="AA2499">
        <v>6.87</v>
      </c>
      <c r="AB2499">
        <v>0.52</v>
      </c>
      <c r="AC2499">
        <v>7.11</v>
      </c>
      <c r="AD2499">
        <v>8.17</v>
      </c>
      <c r="AE2499">
        <v>2.0299999999999998</v>
      </c>
      <c r="AF2499">
        <v>5.1583333333333341</v>
      </c>
      <c r="AG2499" t="str">
        <f>HYPERLINK("https://finance.naver.com/item/fchart.naver?code=264450", "유비쿼스 차트보기")</f>
        <v>유비쿼스 차트보기</v>
      </c>
    </row>
    <row r="2500" spans="1:33" x14ac:dyDescent="0.3">
      <c r="A2500" t="s">
        <v>10027</v>
      </c>
      <c r="B2500" t="s">
        <v>55</v>
      </c>
      <c r="C2500" t="s">
        <v>10028</v>
      </c>
      <c r="D2500">
        <v>125099.43</v>
      </c>
      <c r="E2500" t="s">
        <v>10029</v>
      </c>
      <c r="F2500">
        <v>0</v>
      </c>
      <c r="G2500">
        <v>2.8299999237060551</v>
      </c>
      <c r="H2500">
        <v>0</v>
      </c>
      <c r="I2500">
        <v>0</v>
      </c>
      <c r="J2500" t="s">
        <v>10030</v>
      </c>
      <c r="K2500">
        <v>19790</v>
      </c>
      <c r="L2500">
        <v>8980</v>
      </c>
      <c r="M2500">
        <v>-54.62</v>
      </c>
      <c r="N2500">
        <v>-10.47</v>
      </c>
      <c r="O2500">
        <v>-21.87</v>
      </c>
      <c r="P2500">
        <v>12.29</v>
      </c>
      <c r="Q2500">
        <v>8.0299999999999994</v>
      </c>
      <c r="R2500">
        <v>-22.74</v>
      </c>
      <c r="S2500">
        <v>-16.059999999999999</v>
      </c>
      <c r="T2500">
        <v>3</v>
      </c>
      <c r="U2500">
        <v>3.05</v>
      </c>
      <c r="V2500">
        <v>6.29</v>
      </c>
      <c r="W2500">
        <v>7.35</v>
      </c>
      <c r="X2500">
        <v>2.4300000000000002</v>
      </c>
      <c r="Y2500">
        <v>2.02</v>
      </c>
      <c r="Z2500">
        <v>3.49</v>
      </c>
      <c r="AA2500">
        <v>7.17</v>
      </c>
      <c r="AB2500">
        <v>1.95</v>
      </c>
      <c r="AC2500">
        <v>1.0900000000000001</v>
      </c>
      <c r="AD2500">
        <v>9.36</v>
      </c>
      <c r="AE2500">
        <v>7.95</v>
      </c>
      <c r="AF2500">
        <v>5.168333333333333</v>
      </c>
      <c r="AG2500" t="str">
        <f>HYPERLINK("https://finance.naver.com/item/fchart.naver?code=412540", "제일엠앤에스 차트보기")</f>
        <v>제일엠앤에스 차트보기</v>
      </c>
    </row>
    <row r="2501" spans="1:33" x14ac:dyDescent="0.3">
      <c r="A2501" t="s">
        <v>10031</v>
      </c>
      <c r="B2501" t="s">
        <v>34</v>
      </c>
      <c r="C2501" t="s">
        <v>10032</v>
      </c>
      <c r="D2501">
        <v>30573.19</v>
      </c>
      <c r="E2501" t="s">
        <v>10033</v>
      </c>
      <c r="F2501">
        <v>0</v>
      </c>
      <c r="G2501">
        <v>1.0099999904632571</v>
      </c>
      <c r="H2501">
        <v>0</v>
      </c>
      <c r="I2501">
        <v>0</v>
      </c>
      <c r="J2501" t="s">
        <v>10034</v>
      </c>
      <c r="K2501">
        <v>24100</v>
      </c>
      <c r="L2501">
        <v>22600</v>
      </c>
      <c r="M2501">
        <v>-6.22</v>
      </c>
      <c r="N2501">
        <v>-6.61</v>
      </c>
      <c r="O2501">
        <v>-10.18</v>
      </c>
      <c r="P2501">
        <v>-15.28</v>
      </c>
      <c r="Q2501">
        <v>31.14</v>
      </c>
      <c r="R2501">
        <v>20.51</v>
      </c>
      <c r="S2501">
        <v>-5.78</v>
      </c>
      <c r="T2501">
        <v>2.63</v>
      </c>
      <c r="U2501">
        <v>2.75</v>
      </c>
      <c r="V2501">
        <v>3.45</v>
      </c>
      <c r="W2501">
        <v>5.35</v>
      </c>
      <c r="X2501">
        <v>2.79</v>
      </c>
      <c r="Y2501">
        <v>0.8</v>
      </c>
      <c r="Z2501">
        <v>2.5099999999999998</v>
      </c>
      <c r="AA2501">
        <v>3.7</v>
      </c>
      <c r="AB2501">
        <v>4.43</v>
      </c>
      <c r="AC2501">
        <v>5.82</v>
      </c>
      <c r="AD2501">
        <v>7.35</v>
      </c>
      <c r="AE2501">
        <v>7.22</v>
      </c>
      <c r="AF2501">
        <v>5.1716666666666669</v>
      </c>
      <c r="AG2501" t="str">
        <f>HYPERLINK("https://finance.naver.com/item/fchart.naver?code=063160", "종근당바이오 차트보기")</f>
        <v>종근당바이오 차트보기</v>
      </c>
    </row>
    <row r="2502" spans="1:33" x14ac:dyDescent="0.3">
      <c r="A2502" t="s">
        <v>10035</v>
      </c>
      <c r="B2502" t="s">
        <v>55</v>
      </c>
      <c r="C2502" t="s">
        <v>10036</v>
      </c>
      <c r="D2502">
        <v>79861.52</v>
      </c>
      <c r="E2502" t="s">
        <v>10037</v>
      </c>
      <c r="F2502">
        <v>0</v>
      </c>
      <c r="G2502">
        <v>1.0900000333786011</v>
      </c>
      <c r="H2502">
        <v>0</v>
      </c>
      <c r="I2502">
        <v>0</v>
      </c>
      <c r="J2502" t="s">
        <v>10038</v>
      </c>
      <c r="K2502">
        <v>5680</v>
      </c>
      <c r="L2502">
        <v>3535</v>
      </c>
      <c r="M2502">
        <v>-37.76</v>
      </c>
      <c r="N2502">
        <v>-15.43</v>
      </c>
      <c r="O2502">
        <v>5.28</v>
      </c>
      <c r="P2502">
        <v>-16.21</v>
      </c>
      <c r="Q2502">
        <v>1.64</v>
      </c>
      <c r="R2502">
        <v>-5.41</v>
      </c>
      <c r="S2502">
        <v>-11.88</v>
      </c>
      <c r="T2502">
        <v>3.01</v>
      </c>
      <c r="U2502">
        <v>3.61</v>
      </c>
      <c r="V2502">
        <v>1.73</v>
      </c>
      <c r="W2502">
        <v>3.82</v>
      </c>
      <c r="X2502">
        <v>1.73</v>
      </c>
      <c r="Y2502">
        <v>1.03</v>
      </c>
      <c r="Z2502">
        <v>5.13</v>
      </c>
      <c r="AA2502">
        <v>1.46</v>
      </c>
      <c r="AB2502">
        <v>9.3699999999999992</v>
      </c>
      <c r="AC2502">
        <v>0.43</v>
      </c>
      <c r="AD2502">
        <v>3.13</v>
      </c>
      <c r="AE2502">
        <v>11.53</v>
      </c>
      <c r="AF2502">
        <v>5.1749999999999998</v>
      </c>
      <c r="AG2502" t="str">
        <f>HYPERLINK("https://finance.naver.com/item/fchart.naver?code=086040", "바이오톡스텍 차트보기")</f>
        <v>바이오톡스텍 차트보기</v>
      </c>
    </row>
    <row r="2503" spans="1:33" x14ac:dyDescent="0.3">
      <c r="A2503" t="s">
        <v>10039</v>
      </c>
      <c r="B2503" t="s">
        <v>55</v>
      </c>
      <c r="C2503" t="s">
        <v>10040</v>
      </c>
      <c r="D2503">
        <v>10524</v>
      </c>
      <c r="E2503" t="s">
        <v>10041</v>
      </c>
      <c r="F2503">
        <v>0</v>
      </c>
      <c r="G2503">
        <v>0.33000001311302191</v>
      </c>
      <c r="H2503">
        <v>0</v>
      </c>
      <c r="I2503">
        <v>0</v>
      </c>
      <c r="J2503" t="s">
        <v>10042</v>
      </c>
      <c r="K2503">
        <v>4010</v>
      </c>
      <c r="L2503">
        <v>2845</v>
      </c>
      <c r="M2503">
        <v>-29.05</v>
      </c>
      <c r="N2503">
        <v>-7.18</v>
      </c>
      <c r="O2503">
        <v>-8.41</v>
      </c>
      <c r="P2503">
        <v>6.92</v>
      </c>
      <c r="Q2503">
        <v>-4.41</v>
      </c>
      <c r="R2503">
        <v>-7.57</v>
      </c>
      <c r="S2503">
        <v>-10.54</v>
      </c>
      <c r="T2503">
        <v>2.2000000000000002</v>
      </c>
      <c r="U2503">
        <v>1.95</v>
      </c>
      <c r="V2503">
        <v>4.28</v>
      </c>
      <c r="W2503">
        <v>3.36</v>
      </c>
      <c r="X2503">
        <v>1.02</v>
      </c>
      <c r="Y2503">
        <v>0.8</v>
      </c>
      <c r="Z2503">
        <v>3.26</v>
      </c>
      <c r="AA2503">
        <v>4.3099999999999996</v>
      </c>
      <c r="AB2503">
        <v>1.62</v>
      </c>
      <c r="AC2503">
        <v>1.31</v>
      </c>
      <c r="AD2503">
        <v>7.42</v>
      </c>
      <c r="AE2503">
        <v>13.17</v>
      </c>
      <c r="AF2503">
        <v>5.1816666666666684</v>
      </c>
      <c r="AG2503" t="str">
        <f>HYPERLINK("https://finance.naver.com/item/fchart.naver?code=308100", "까스텔바작 차트보기")</f>
        <v>까스텔바작 차트보기</v>
      </c>
    </row>
    <row r="2504" spans="1:33" x14ac:dyDescent="0.3">
      <c r="A2504" t="s">
        <v>10043</v>
      </c>
      <c r="B2504" t="s">
        <v>55</v>
      </c>
      <c r="C2504" t="s">
        <v>10044</v>
      </c>
      <c r="D2504">
        <v>62668.67</v>
      </c>
      <c r="E2504" t="s">
        <v>10045</v>
      </c>
      <c r="F2504">
        <v>0</v>
      </c>
      <c r="G2504">
        <v>5.3600001335144043</v>
      </c>
      <c r="H2504">
        <v>0</v>
      </c>
      <c r="I2504">
        <v>0</v>
      </c>
      <c r="J2504" t="s">
        <v>10046</v>
      </c>
      <c r="K2504">
        <v>4180</v>
      </c>
      <c r="L2504">
        <v>2085</v>
      </c>
      <c r="M2504">
        <v>-50.12</v>
      </c>
      <c r="N2504">
        <v>-5.01</v>
      </c>
      <c r="O2504">
        <v>-18.82</v>
      </c>
      <c r="P2504">
        <v>12.85</v>
      </c>
      <c r="Q2504">
        <v>-20.79</v>
      </c>
      <c r="R2504">
        <v>60.95</v>
      </c>
      <c r="S2504">
        <v>-49.44</v>
      </c>
      <c r="T2504">
        <v>3.12</v>
      </c>
      <c r="U2504">
        <v>2.08</v>
      </c>
      <c r="V2504">
        <v>4.37</v>
      </c>
      <c r="W2504">
        <v>5.83</v>
      </c>
      <c r="X2504">
        <v>8.09</v>
      </c>
      <c r="Y2504">
        <v>7.73</v>
      </c>
      <c r="Z2504">
        <v>1.61</v>
      </c>
      <c r="AA2504">
        <v>9.0500000000000007</v>
      </c>
      <c r="AB2504">
        <v>2.94</v>
      </c>
      <c r="AC2504">
        <v>3.57</v>
      </c>
      <c r="AD2504">
        <v>7.53</v>
      </c>
      <c r="AE2504">
        <v>6.4</v>
      </c>
      <c r="AF2504">
        <v>5.1833333333333336</v>
      </c>
      <c r="AG2504" t="str">
        <f>HYPERLINK("https://finance.naver.com/item/fchart.naver?code=347860", "알체라 차트보기")</f>
        <v>알체라 차트보기</v>
      </c>
    </row>
    <row r="2505" spans="1:33" x14ac:dyDescent="0.3">
      <c r="A2505" t="s">
        <v>10047</v>
      </c>
      <c r="B2505" t="s">
        <v>34</v>
      </c>
      <c r="C2505" t="s">
        <v>10048</v>
      </c>
      <c r="D2505">
        <v>100320.52</v>
      </c>
      <c r="E2505" t="s">
        <v>10049</v>
      </c>
      <c r="F2505">
        <v>0</v>
      </c>
      <c r="G2505">
        <v>0.50999999046325684</v>
      </c>
      <c r="H2505">
        <v>0</v>
      </c>
      <c r="I2505">
        <v>0</v>
      </c>
      <c r="J2505" t="s">
        <v>10050</v>
      </c>
      <c r="K2505">
        <v>526</v>
      </c>
      <c r="L2505">
        <v>348</v>
      </c>
      <c r="M2505">
        <v>-33.840000000000003</v>
      </c>
      <c r="N2505">
        <v>1.75</v>
      </c>
      <c r="O2505">
        <v>-2.56</v>
      </c>
      <c r="P2505">
        <v>-11.19</v>
      </c>
      <c r="Q2505">
        <v>-6.9</v>
      </c>
      <c r="R2505">
        <v>-12.16</v>
      </c>
      <c r="S2505">
        <v>-21.41</v>
      </c>
      <c r="T2505">
        <v>0.81</v>
      </c>
      <c r="U2505">
        <v>1.18</v>
      </c>
      <c r="V2505">
        <v>1.56</v>
      </c>
      <c r="W2505">
        <v>2.74</v>
      </c>
      <c r="X2505">
        <v>1.1299999999999999</v>
      </c>
      <c r="Y2505">
        <v>3.39</v>
      </c>
      <c r="Z2505">
        <v>2.16</v>
      </c>
      <c r="AA2505">
        <v>2.17</v>
      </c>
      <c r="AB2505">
        <v>7.17</v>
      </c>
      <c r="AC2505">
        <v>2.52</v>
      </c>
      <c r="AD2505">
        <v>10.76</v>
      </c>
      <c r="AE2505">
        <v>6.32</v>
      </c>
      <c r="AF2505">
        <v>5.1833333333333336</v>
      </c>
      <c r="AG2505" t="str">
        <f>HYPERLINK("https://finance.naver.com/item/fchart.naver?code=118000", "메타케어 차트보기")</f>
        <v>메타케어 차트보기</v>
      </c>
    </row>
    <row r="2506" spans="1:33" x14ac:dyDescent="0.3">
      <c r="A2506" t="s">
        <v>10051</v>
      </c>
      <c r="B2506" t="s">
        <v>55</v>
      </c>
      <c r="C2506" t="s">
        <v>10052</v>
      </c>
      <c r="D2506">
        <v>75464.81</v>
      </c>
      <c r="E2506" t="s">
        <v>10053</v>
      </c>
      <c r="F2506">
        <v>31.74</v>
      </c>
      <c r="G2506">
        <v>3.160000085830688</v>
      </c>
      <c r="H2506">
        <v>259</v>
      </c>
      <c r="I2506">
        <v>0</v>
      </c>
      <c r="J2506" t="s">
        <v>10054</v>
      </c>
      <c r="K2506">
        <v>13410</v>
      </c>
      <c r="L2506">
        <v>8220</v>
      </c>
      <c r="M2506">
        <v>-38.700000000000003</v>
      </c>
      <c r="N2506">
        <v>-8.77</v>
      </c>
      <c r="O2506">
        <v>-12.99</v>
      </c>
      <c r="P2506">
        <v>-13.85</v>
      </c>
      <c r="Q2506">
        <v>38.97</v>
      </c>
      <c r="R2506">
        <v>-28.99</v>
      </c>
      <c r="S2506">
        <v>-1.95</v>
      </c>
      <c r="T2506">
        <v>3.69</v>
      </c>
      <c r="U2506">
        <v>2.89</v>
      </c>
      <c r="V2506">
        <v>3.71</v>
      </c>
      <c r="W2506">
        <v>8.7100000000000009</v>
      </c>
      <c r="X2506">
        <v>1.85</v>
      </c>
      <c r="Y2506">
        <v>4.74</v>
      </c>
      <c r="Z2506">
        <v>2.38</v>
      </c>
      <c r="AA2506">
        <v>4.49</v>
      </c>
      <c r="AB2506">
        <v>3.73</v>
      </c>
      <c r="AC2506">
        <v>4.47</v>
      </c>
      <c r="AD2506">
        <v>15.67</v>
      </c>
      <c r="AE2506">
        <v>0.41</v>
      </c>
      <c r="AF2506">
        <v>5.1916666666666673</v>
      </c>
      <c r="AG2506" t="str">
        <f>HYPERLINK("https://finance.naver.com/item/fchart.naver?code=417010", "나노팀 차트보기")</f>
        <v>나노팀 차트보기</v>
      </c>
    </row>
    <row r="2507" spans="1:33" x14ac:dyDescent="0.3">
      <c r="A2507" t="s">
        <v>10055</v>
      </c>
      <c r="B2507" t="s">
        <v>55</v>
      </c>
      <c r="C2507" t="s">
        <v>10056</v>
      </c>
      <c r="D2507">
        <v>460401.81</v>
      </c>
      <c r="E2507" t="s">
        <v>10057</v>
      </c>
      <c r="F2507">
        <v>9.94</v>
      </c>
      <c r="G2507">
        <v>5.3499999046325684</v>
      </c>
      <c r="H2507">
        <v>691</v>
      </c>
      <c r="I2507">
        <v>0</v>
      </c>
      <c r="J2507" t="s">
        <v>10058</v>
      </c>
      <c r="K2507">
        <v>14420</v>
      </c>
      <c r="L2507">
        <v>6870</v>
      </c>
      <c r="M2507">
        <v>-52.36</v>
      </c>
      <c r="N2507">
        <v>36.31</v>
      </c>
      <c r="O2507">
        <v>-31.91</v>
      </c>
      <c r="P2507">
        <v>10.58</v>
      </c>
      <c r="Q2507">
        <v>3.53</v>
      </c>
      <c r="R2507">
        <v>-38.33</v>
      </c>
      <c r="S2507">
        <v>-20.39</v>
      </c>
      <c r="T2507">
        <v>4.72</v>
      </c>
      <c r="U2507">
        <v>3.36</v>
      </c>
      <c r="V2507">
        <v>5.64</v>
      </c>
      <c r="W2507">
        <v>6.27</v>
      </c>
      <c r="X2507">
        <v>5.61</v>
      </c>
      <c r="Y2507">
        <v>4.16</v>
      </c>
      <c r="Z2507">
        <v>7.69</v>
      </c>
      <c r="AA2507">
        <v>9.5</v>
      </c>
      <c r="AB2507">
        <v>1.88</v>
      </c>
      <c r="AC2507">
        <v>0.56000000000000005</v>
      </c>
      <c r="AD2507">
        <v>6.83</v>
      </c>
      <c r="AE2507">
        <v>4.9000000000000004</v>
      </c>
      <c r="AF2507">
        <v>5.2266666666666666</v>
      </c>
      <c r="AG2507" t="str">
        <f>HYPERLINK("https://finance.naver.com/item/fchart.naver?code=464080", "에스오에스랩 차트보기")</f>
        <v>에스오에스랩 차트보기</v>
      </c>
    </row>
    <row r="2508" spans="1:33" x14ac:dyDescent="0.3">
      <c r="A2508" t="s">
        <v>10059</v>
      </c>
      <c r="B2508" t="s">
        <v>55</v>
      </c>
      <c r="C2508" t="s">
        <v>10060</v>
      </c>
      <c r="D2508">
        <v>51718.86</v>
      </c>
      <c r="E2508" t="s">
        <v>10061</v>
      </c>
      <c r="F2508">
        <v>0</v>
      </c>
      <c r="G2508">
        <v>0.23000000417232511</v>
      </c>
      <c r="H2508">
        <v>0</v>
      </c>
      <c r="I2508">
        <v>0</v>
      </c>
      <c r="J2508" t="s">
        <v>10062</v>
      </c>
      <c r="K2508">
        <v>2015</v>
      </c>
      <c r="L2508">
        <v>1139</v>
      </c>
      <c r="M2508">
        <v>-43.47</v>
      </c>
      <c r="N2508">
        <v>-5.79</v>
      </c>
      <c r="O2508">
        <v>-7.46</v>
      </c>
      <c r="P2508">
        <v>-2.15</v>
      </c>
      <c r="Q2508">
        <v>-16.989999999999998</v>
      </c>
      <c r="R2508">
        <v>-5.0999999999999996</v>
      </c>
      <c r="S2508">
        <v>-19.52</v>
      </c>
      <c r="T2508">
        <v>1.59</v>
      </c>
      <c r="U2508">
        <v>0.88</v>
      </c>
      <c r="V2508">
        <v>2.0099999999999998</v>
      </c>
      <c r="W2508">
        <v>2.35</v>
      </c>
      <c r="X2508">
        <v>1.78</v>
      </c>
      <c r="Y2508">
        <v>2.4</v>
      </c>
      <c r="Z2508">
        <v>3.64</v>
      </c>
      <c r="AA2508">
        <v>8.48</v>
      </c>
      <c r="AB2508">
        <v>1.07</v>
      </c>
      <c r="AC2508">
        <v>7.23</v>
      </c>
      <c r="AD2508">
        <v>2.87</v>
      </c>
      <c r="AE2508">
        <v>8.1300000000000008</v>
      </c>
      <c r="AF2508">
        <v>5.2366666666666672</v>
      </c>
      <c r="AG2508" t="str">
        <f>HYPERLINK("https://finance.naver.com/item/fchart.naver?code=096690", "에이루트 차트보기")</f>
        <v>에이루트 차트보기</v>
      </c>
    </row>
    <row r="2509" spans="1:33" x14ac:dyDescent="0.3">
      <c r="A2509" t="s">
        <v>10063</v>
      </c>
      <c r="B2509" t="s">
        <v>34</v>
      </c>
      <c r="C2509" t="s">
        <v>10064</v>
      </c>
      <c r="D2509">
        <v>189516.81</v>
      </c>
      <c r="E2509" t="s">
        <v>10065</v>
      </c>
      <c r="J2509" t="s">
        <v>10066</v>
      </c>
      <c r="K2509">
        <v>3540</v>
      </c>
      <c r="L2509">
        <v>2710</v>
      </c>
      <c r="M2509">
        <v>-23.45</v>
      </c>
      <c r="N2509">
        <v>-5.08</v>
      </c>
      <c r="O2509">
        <v>-15.57</v>
      </c>
      <c r="P2509">
        <v>-7.08</v>
      </c>
      <c r="Q2509">
        <v>1.62</v>
      </c>
      <c r="R2509">
        <v>6.72</v>
      </c>
      <c r="S2509">
        <v>-3.65</v>
      </c>
      <c r="T2509">
        <v>1.22</v>
      </c>
      <c r="U2509">
        <v>1.65</v>
      </c>
      <c r="V2509">
        <v>1.46</v>
      </c>
      <c r="W2509">
        <v>1.66</v>
      </c>
      <c r="X2509">
        <v>0.78</v>
      </c>
      <c r="Y2509">
        <v>1.08</v>
      </c>
      <c r="Z2509">
        <v>4.16</v>
      </c>
      <c r="AA2509">
        <v>9.44</v>
      </c>
      <c r="AB2509">
        <v>4.8499999999999996</v>
      </c>
      <c r="AC2509">
        <v>0.98</v>
      </c>
      <c r="AD2509">
        <v>8.6199999999999992</v>
      </c>
      <c r="AE2509">
        <v>3.38</v>
      </c>
      <c r="AF2509">
        <v>5.2383333333333324</v>
      </c>
      <c r="AG2509" t="str">
        <f>HYPERLINK("https://finance.naver.com/item/fchart.naver?code=377190", "디앤디플랫폼리츠 차트보기")</f>
        <v>디앤디플랫폼리츠 차트보기</v>
      </c>
    </row>
    <row r="2510" spans="1:33" x14ac:dyDescent="0.3">
      <c r="A2510" t="s">
        <v>10067</v>
      </c>
      <c r="B2510" t="s">
        <v>55</v>
      </c>
      <c r="C2510" t="s">
        <v>10068</v>
      </c>
      <c r="D2510">
        <v>143458.14000000001</v>
      </c>
      <c r="E2510" t="s">
        <v>10069</v>
      </c>
      <c r="F2510">
        <v>67.819999999999993</v>
      </c>
      <c r="G2510">
        <v>2.2000000476837158</v>
      </c>
      <c r="H2510">
        <v>749</v>
      </c>
      <c r="I2510">
        <v>0.38999998569488531</v>
      </c>
      <c r="J2510" t="s">
        <v>10070</v>
      </c>
      <c r="K2510">
        <v>79800</v>
      </c>
      <c r="L2510">
        <v>50800</v>
      </c>
      <c r="M2510">
        <v>-36.340000000000003</v>
      </c>
      <c r="N2510">
        <v>-21</v>
      </c>
      <c r="O2510">
        <v>14.36</v>
      </c>
      <c r="P2510">
        <v>6.63</v>
      </c>
      <c r="Q2510">
        <v>5.45</v>
      </c>
      <c r="R2510">
        <v>-23.45</v>
      </c>
      <c r="S2510">
        <v>-12.78</v>
      </c>
      <c r="T2510">
        <v>3.96</v>
      </c>
      <c r="U2510">
        <v>2.68</v>
      </c>
      <c r="V2510">
        <v>3.15</v>
      </c>
      <c r="W2510">
        <v>5.37</v>
      </c>
      <c r="X2510">
        <v>2.21</v>
      </c>
      <c r="Y2510">
        <v>1.81</v>
      </c>
      <c r="Z2510">
        <v>5.3</v>
      </c>
      <c r="AA2510">
        <v>5.36</v>
      </c>
      <c r="AB2510">
        <v>2.1</v>
      </c>
      <c r="AC2510">
        <v>1.01</v>
      </c>
      <c r="AD2510">
        <v>10.61</v>
      </c>
      <c r="AE2510">
        <v>7.06</v>
      </c>
      <c r="AF2510">
        <v>5.2399999999999993</v>
      </c>
      <c r="AG2510" t="str">
        <f>HYPERLINK("https://finance.naver.com/item/fchart.naver?code=095340", "ISC 차트보기")</f>
        <v>ISC 차트보기</v>
      </c>
    </row>
    <row r="2511" spans="1:33" x14ac:dyDescent="0.3">
      <c r="A2511" t="s">
        <v>10071</v>
      </c>
      <c r="B2511" t="s">
        <v>55</v>
      </c>
      <c r="C2511" t="s">
        <v>10072</v>
      </c>
      <c r="D2511">
        <v>79816.570000000007</v>
      </c>
      <c r="E2511" t="s">
        <v>10073</v>
      </c>
      <c r="F2511">
        <v>0</v>
      </c>
      <c r="G2511">
        <v>0.31999999284744263</v>
      </c>
      <c r="H2511">
        <v>0</v>
      </c>
      <c r="I2511">
        <v>0.87000000476837158</v>
      </c>
      <c r="J2511" t="s">
        <v>10074</v>
      </c>
      <c r="K2511">
        <v>5660</v>
      </c>
      <c r="L2511">
        <v>3440</v>
      </c>
      <c r="M2511">
        <v>-39.22</v>
      </c>
      <c r="N2511">
        <v>0.28999999999999998</v>
      </c>
      <c r="O2511">
        <v>-13.44</v>
      </c>
      <c r="P2511">
        <v>-6.12</v>
      </c>
      <c r="Q2511">
        <v>-10.31</v>
      </c>
      <c r="R2511">
        <v>-8.41</v>
      </c>
      <c r="S2511">
        <v>-11.19</v>
      </c>
      <c r="T2511">
        <v>1.99</v>
      </c>
      <c r="U2511">
        <v>1.37</v>
      </c>
      <c r="V2511">
        <v>2.34</v>
      </c>
      <c r="W2511">
        <v>3.91</v>
      </c>
      <c r="X2511">
        <v>1.25</v>
      </c>
      <c r="Y2511">
        <v>1.17</v>
      </c>
      <c r="Z2511">
        <v>0.15</v>
      </c>
      <c r="AA2511">
        <v>9.81</v>
      </c>
      <c r="AB2511">
        <v>2.62</v>
      </c>
      <c r="AC2511">
        <v>2.64</v>
      </c>
      <c r="AD2511">
        <v>6.73</v>
      </c>
      <c r="AE2511">
        <v>9.56</v>
      </c>
      <c r="AF2511">
        <v>5.2516666666666678</v>
      </c>
      <c r="AG2511" t="str">
        <f>HYPERLINK("https://finance.naver.com/item/fchart.naver?code=078890", "가온그룹 차트보기")</f>
        <v>가온그룹 차트보기</v>
      </c>
    </row>
    <row r="2512" spans="1:33" x14ac:dyDescent="0.3">
      <c r="A2512" t="s">
        <v>10075</v>
      </c>
      <c r="B2512" t="s">
        <v>34</v>
      </c>
      <c r="C2512" t="s">
        <v>10076</v>
      </c>
      <c r="D2512">
        <v>1563198.81</v>
      </c>
      <c r="E2512" t="s">
        <v>10077</v>
      </c>
      <c r="F2512">
        <v>0</v>
      </c>
      <c r="G2512">
        <v>1.629999995231628</v>
      </c>
      <c r="H2512">
        <v>0</v>
      </c>
      <c r="I2512">
        <v>0</v>
      </c>
      <c r="J2512" t="s">
        <v>10078</v>
      </c>
      <c r="K2512">
        <v>1010</v>
      </c>
      <c r="L2512">
        <v>415</v>
      </c>
      <c r="M2512">
        <v>-58.91</v>
      </c>
      <c r="N2512">
        <v>0.48</v>
      </c>
      <c r="O2512">
        <v>-22.4</v>
      </c>
      <c r="P2512">
        <v>-17.12</v>
      </c>
      <c r="Q2512">
        <v>-24.67</v>
      </c>
      <c r="R2512">
        <v>-26.32</v>
      </c>
      <c r="S2512">
        <v>19.59</v>
      </c>
      <c r="T2512">
        <v>3.87</v>
      </c>
      <c r="U2512">
        <v>2.82</v>
      </c>
      <c r="V2512">
        <v>7.39</v>
      </c>
      <c r="W2512">
        <v>3.65</v>
      </c>
      <c r="X2512">
        <v>2.25</v>
      </c>
      <c r="Y2512">
        <v>7.19</v>
      </c>
      <c r="Z2512">
        <v>0.12</v>
      </c>
      <c r="AA2512">
        <v>7.94</v>
      </c>
      <c r="AB2512">
        <v>2.3199999999999998</v>
      </c>
      <c r="AC2512">
        <v>6.76</v>
      </c>
      <c r="AD2512">
        <v>11.7</v>
      </c>
      <c r="AE2512">
        <v>2.72</v>
      </c>
      <c r="AF2512">
        <v>5.26</v>
      </c>
      <c r="AG2512" t="str">
        <f>HYPERLINK("https://finance.naver.com/item/fchart.naver?code=012170", "아센디오 차트보기")</f>
        <v>아센디오 차트보기</v>
      </c>
    </row>
    <row r="2513" spans="1:33" x14ac:dyDescent="0.3">
      <c r="A2513" t="s">
        <v>10079</v>
      </c>
      <c r="B2513" t="s">
        <v>34</v>
      </c>
      <c r="C2513" t="s">
        <v>10080</v>
      </c>
      <c r="D2513">
        <v>102150.9</v>
      </c>
      <c r="E2513" t="s">
        <v>10081</v>
      </c>
      <c r="J2513" t="s">
        <v>10082</v>
      </c>
      <c r="K2513">
        <v>2905</v>
      </c>
      <c r="L2513">
        <v>1771</v>
      </c>
      <c r="M2513">
        <v>-39.04</v>
      </c>
      <c r="N2513">
        <v>-1.67</v>
      </c>
      <c r="O2513">
        <v>-18.489999999999998</v>
      </c>
      <c r="P2513">
        <v>-3.64</v>
      </c>
      <c r="Q2513">
        <v>-9.34</v>
      </c>
      <c r="R2513">
        <v>0.79</v>
      </c>
      <c r="S2513">
        <v>-11.51</v>
      </c>
      <c r="T2513">
        <v>1.0900000000000001</v>
      </c>
      <c r="U2513">
        <v>2.04</v>
      </c>
      <c r="V2513">
        <v>0.9</v>
      </c>
      <c r="W2513">
        <v>1.55</v>
      </c>
      <c r="X2513">
        <v>0.89</v>
      </c>
      <c r="Y2513">
        <v>1.1399999999999999</v>
      </c>
      <c r="Z2513">
        <v>1.53</v>
      </c>
      <c r="AA2513">
        <v>9.06</v>
      </c>
      <c r="AB2513">
        <v>4.04</v>
      </c>
      <c r="AC2513">
        <v>6.03</v>
      </c>
      <c r="AD2513">
        <v>0.89</v>
      </c>
      <c r="AE2513">
        <v>10.1</v>
      </c>
      <c r="AF2513">
        <v>5.2749999999999986</v>
      </c>
      <c r="AG2513" t="str">
        <f>HYPERLINK("https://finance.naver.com/item/fchart.naver?code=357430", "마스턴프리미어리츠 차트보기")</f>
        <v>마스턴프리미어리츠 차트보기</v>
      </c>
    </row>
    <row r="2514" spans="1:33" x14ac:dyDescent="0.3">
      <c r="A2514" t="s">
        <v>10083</v>
      </c>
      <c r="B2514" t="s">
        <v>55</v>
      </c>
      <c r="C2514" t="s">
        <v>10084</v>
      </c>
      <c r="D2514">
        <v>42518.19</v>
      </c>
      <c r="E2514" t="s">
        <v>10085</v>
      </c>
      <c r="F2514">
        <v>0</v>
      </c>
      <c r="G2514">
        <v>0.56000000238418579</v>
      </c>
      <c r="H2514">
        <v>0</v>
      </c>
      <c r="I2514">
        <v>0</v>
      </c>
      <c r="J2514" t="s">
        <v>10086</v>
      </c>
      <c r="K2514">
        <v>9580</v>
      </c>
      <c r="L2514">
        <v>4505</v>
      </c>
      <c r="M2514">
        <v>-52.97</v>
      </c>
      <c r="N2514">
        <v>-2.91</v>
      </c>
      <c r="O2514">
        <v>-17.86</v>
      </c>
      <c r="P2514">
        <v>-8.0399999999999991</v>
      </c>
      <c r="Q2514">
        <v>-4.3</v>
      </c>
      <c r="R2514">
        <v>-17.420000000000002</v>
      </c>
      <c r="S2514">
        <v>-9.56</v>
      </c>
      <c r="T2514">
        <v>3.16</v>
      </c>
      <c r="U2514">
        <v>1.69</v>
      </c>
      <c r="V2514">
        <v>2.76</v>
      </c>
      <c r="W2514">
        <v>2.85</v>
      </c>
      <c r="X2514">
        <v>1.52</v>
      </c>
      <c r="Y2514">
        <v>2.2200000000000002</v>
      </c>
      <c r="Z2514">
        <v>0.92</v>
      </c>
      <c r="AA2514">
        <v>10.57</v>
      </c>
      <c r="AB2514">
        <v>2.91</v>
      </c>
      <c r="AC2514">
        <v>1.51</v>
      </c>
      <c r="AD2514">
        <v>11.46</v>
      </c>
      <c r="AE2514">
        <v>4.3099999999999996</v>
      </c>
      <c r="AF2514">
        <v>5.28</v>
      </c>
      <c r="AG2514" t="str">
        <f>HYPERLINK("https://finance.naver.com/item/fchart.naver?code=040910", "아이씨디 차트보기")</f>
        <v>아이씨디 차트보기</v>
      </c>
    </row>
    <row r="2515" spans="1:33" x14ac:dyDescent="0.3">
      <c r="A2515" t="s">
        <v>10087</v>
      </c>
      <c r="B2515" t="s">
        <v>34</v>
      </c>
      <c r="C2515" t="s">
        <v>10088</v>
      </c>
      <c r="D2515">
        <v>235724.86</v>
      </c>
      <c r="E2515" t="s">
        <v>10089</v>
      </c>
      <c r="F2515">
        <v>0</v>
      </c>
      <c r="G2515">
        <v>0.56000000238418579</v>
      </c>
      <c r="H2515">
        <v>0</v>
      </c>
      <c r="I2515">
        <v>2.6500000953674321</v>
      </c>
      <c r="J2515" t="s">
        <v>10090</v>
      </c>
      <c r="K2515">
        <v>3770</v>
      </c>
      <c r="L2515">
        <v>3770</v>
      </c>
      <c r="M2515">
        <v>0</v>
      </c>
      <c r="N2515">
        <v>-3.58</v>
      </c>
      <c r="O2515">
        <v>-11.91</v>
      </c>
      <c r="P2515">
        <v>7.52</v>
      </c>
      <c r="Q2515">
        <v>10.34</v>
      </c>
      <c r="R2515">
        <v>8.07</v>
      </c>
      <c r="S2515">
        <v>-8.32</v>
      </c>
      <c r="T2515">
        <v>0.47</v>
      </c>
      <c r="U2515">
        <v>1.95</v>
      </c>
      <c r="V2515">
        <v>2.2799999999999998</v>
      </c>
      <c r="W2515">
        <v>2.7</v>
      </c>
      <c r="X2515">
        <v>2.11</v>
      </c>
      <c r="Y2515">
        <v>1.17</v>
      </c>
      <c r="Z2515">
        <v>7.62</v>
      </c>
      <c r="AA2515">
        <v>6.11</v>
      </c>
      <c r="AB2515">
        <v>3.3</v>
      </c>
      <c r="AC2515">
        <v>3.83</v>
      </c>
      <c r="AD2515">
        <v>3.82</v>
      </c>
      <c r="AE2515">
        <v>7.11</v>
      </c>
      <c r="AF2515">
        <v>5.2983333333333329</v>
      </c>
      <c r="AG2515" t="str">
        <f>HYPERLINK("https://finance.naver.com/item/fchart.naver?code=126560", "현대퓨처넷 차트보기")</f>
        <v>현대퓨처넷 차트보기</v>
      </c>
    </row>
    <row r="2516" spans="1:33" x14ac:dyDescent="0.3">
      <c r="A2516" t="s">
        <v>10091</v>
      </c>
      <c r="B2516" t="s">
        <v>55</v>
      </c>
      <c r="C2516" t="s">
        <v>10092</v>
      </c>
      <c r="D2516">
        <v>274111.19</v>
      </c>
      <c r="E2516" t="s">
        <v>10093</v>
      </c>
      <c r="F2516">
        <v>0</v>
      </c>
      <c r="G2516">
        <v>18.530000686645511</v>
      </c>
      <c r="H2516">
        <v>0</v>
      </c>
      <c r="I2516">
        <v>0</v>
      </c>
      <c r="J2516" t="s">
        <v>10094</v>
      </c>
      <c r="K2516">
        <v>13420</v>
      </c>
      <c r="L2516">
        <v>13510</v>
      </c>
      <c r="M2516">
        <v>0.67</v>
      </c>
      <c r="N2516">
        <v>-3.08</v>
      </c>
      <c r="O2516">
        <v>-13.29</v>
      </c>
      <c r="P2516">
        <v>-16.57</v>
      </c>
      <c r="Q2516">
        <v>31.76</v>
      </c>
      <c r="R2516">
        <v>55.19</v>
      </c>
      <c r="S2516">
        <v>-24.45</v>
      </c>
      <c r="T2516">
        <v>4.51</v>
      </c>
      <c r="U2516">
        <v>3.64</v>
      </c>
      <c r="V2516">
        <v>5.82</v>
      </c>
      <c r="W2516">
        <v>8.52</v>
      </c>
      <c r="X2516">
        <v>7.2</v>
      </c>
      <c r="Y2516">
        <v>1.85</v>
      </c>
      <c r="Z2516">
        <v>0.68</v>
      </c>
      <c r="AA2516">
        <v>3.65</v>
      </c>
      <c r="AB2516">
        <v>2.85</v>
      </c>
      <c r="AC2516">
        <v>3.73</v>
      </c>
      <c r="AD2516">
        <v>7.67</v>
      </c>
      <c r="AE2516">
        <v>13.22</v>
      </c>
      <c r="AF2516">
        <v>5.3</v>
      </c>
      <c r="AG2516" t="str">
        <f>HYPERLINK("https://finance.naver.com/item/fchart.naver?code=461030", "아이엠비디엑스 차트보기")</f>
        <v>아이엠비디엑스 차트보기</v>
      </c>
    </row>
    <row r="2517" spans="1:33" x14ac:dyDescent="0.3">
      <c r="A2517" t="s">
        <v>10095</v>
      </c>
      <c r="B2517" t="s">
        <v>55</v>
      </c>
      <c r="C2517" t="s">
        <v>10096</v>
      </c>
      <c r="D2517">
        <v>641128.14</v>
      </c>
      <c r="E2517" t="s">
        <v>10097</v>
      </c>
      <c r="F2517">
        <v>20.04</v>
      </c>
      <c r="G2517">
        <v>2.1800000667572021</v>
      </c>
      <c r="H2517">
        <v>130</v>
      </c>
      <c r="I2517">
        <v>1.1499999761581421</v>
      </c>
      <c r="J2517" t="s">
        <v>10098</v>
      </c>
      <c r="K2517">
        <v>2025</v>
      </c>
      <c r="L2517">
        <v>2605</v>
      </c>
      <c r="M2517">
        <v>28.64</v>
      </c>
      <c r="N2517">
        <v>-30.63</v>
      </c>
      <c r="O2517">
        <v>2.06</v>
      </c>
      <c r="P2517">
        <v>8.33</v>
      </c>
      <c r="Q2517">
        <v>-26.94</v>
      </c>
      <c r="R2517">
        <v>125.34</v>
      </c>
      <c r="S2517">
        <v>-3.45</v>
      </c>
      <c r="T2517">
        <v>9.77</v>
      </c>
      <c r="U2517">
        <v>4.0199999999999996</v>
      </c>
      <c r="V2517">
        <v>3.36</v>
      </c>
      <c r="W2517">
        <v>5.53</v>
      </c>
      <c r="X2517">
        <v>7.76</v>
      </c>
      <c r="Y2517">
        <v>0.74</v>
      </c>
      <c r="Z2517">
        <v>3.14</v>
      </c>
      <c r="AA2517">
        <v>0.51</v>
      </c>
      <c r="AB2517">
        <v>2.48</v>
      </c>
      <c r="AC2517">
        <v>4.87</v>
      </c>
      <c r="AD2517">
        <v>16.149999999999999</v>
      </c>
      <c r="AE2517">
        <v>4.66</v>
      </c>
      <c r="AF2517">
        <v>5.3016666666666667</v>
      </c>
      <c r="AG2517" t="str">
        <f>HYPERLINK("https://finance.naver.com/item/fchart.naver?code=331380", "포커스에이치엔에스 차트보기")</f>
        <v>포커스에이치엔에스 차트보기</v>
      </c>
    </row>
    <row r="2518" spans="1:33" x14ac:dyDescent="0.3">
      <c r="A2518" t="s">
        <v>10099</v>
      </c>
      <c r="B2518" t="s">
        <v>55</v>
      </c>
      <c r="C2518" t="s">
        <v>10100</v>
      </c>
      <c r="D2518">
        <v>14362.9</v>
      </c>
      <c r="E2518" t="s">
        <v>10101</v>
      </c>
      <c r="F2518">
        <v>12.09</v>
      </c>
      <c r="G2518">
        <v>0.25999999046325678</v>
      </c>
      <c r="H2518">
        <v>351</v>
      </c>
      <c r="I2518">
        <v>4.7100000381469727</v>
      </c>
      <c r="J2518" t="s">
        <v>10102</v>
      </c>
      <c r="K2518">
        <v>5340</v>
      </c>
      <c r="L2518">
        <v>4245</v>
      </c>
      <c r="M2518">
        <v>-20.51</v>
      </c>
      <c r="N2518">
        <v>-1.85</v>
      </c>
      <c r="O2518">
        <v>-6.11</v>
      </c>
      <c r="P2518">
        <v>-0.11</v>
      </c>
      <c r="Q2518">
        <v>-3.41</v>
      </c>
      <c r="R2518">
        <v>-5.49</v>
      </c>
      <c r="S2518">
        <v>-2.86</v>
      </c>
      <c r="T2518">
        <v>1.1599999999999999</v>
      </c>
      <c r="U2518">
        <v>0.54</v>
      </c>
      <c r="V2518">
        <v>1.03</v>
      </c>
      <c r="W2518">
        <v>2.67</v>
      </c>
      <c r="X2518">
        <v>0.46</v>
      </c>
      <c r="Y2518">
        <v>0.51</v>
      </c>
      <c r="Z2518">
        <v>1.59</v>
      </c>
      <c r="AA2518">
        <v>11.31</v>
      </c>
      <c r="AB2518">
        <v>0.11</v>
      </c>
      <c r="AC2518">
        <v>1.28</v>
      </c>
      <c r="AD2518">
        <v>11.93</v>
      </c>
      <c r="AE2518">
        <v>5.61</v>
      </c>
      <c r="AF2518">
        <v>5.3049999999999997</v>
      </c>
      <c r="AG2518" t="str">
        <f>HYPERLINK("https://finance.naver.com/item/fchart.naver?code=012700", "리드코프 차트보기")</f>
        <v>리드코프 차트보기</v>
      </c>
    </row>
    <row r="2519" spans="1:33" x14ac:dyDescent="0.3">
      <c r="A2519" t="s">
        <v>10103</v>
      </c>
      <c r="B2519" t="s">
        <v>55</v>
      </c>
      <c r="C2519" t="s">
        <v>10104</v>
      </c>
      <c r="D2519">
        <v>31088.62</v>
      </c>
      <c r="E2519" t="s">
        <v>10105</v>
      </c>
      <c r="F2519">
        <v>7.9</v>
      </c>
      <c r="G2519">
        <v>0.5</v>
      </c>
      <c r="H2519">
        <v>436</v>
      </c>
      <c r="I2519">
        <v>2.3199999332427979</v>
      </c>
      <c r="J2519" t="s">
        <v>10106</v>
      </c>
      <c r="K2519">
        <v>4310</v>
      </c>
      <c r="L2519">
        <v>3445</v>
      </c>
      <c r="M2519">
        <v>-20.07</v>
      </c>
      <c r="N2519">
        <v>-1.71</v>
      </c>
      <c r="O2519">
        <v>-9.75</v>
      </c>
      <c r="P2519">
        <v>-3.71</v>
      </c>
      <c r="Q2519">
        <v>-8.42</v>
      </c>
      <c r="R2519">
        <v>8.09</v>
      </c>
      <c r="S2519">
        <v>-2.2599999999999998</v>
      </c>
      <c r="T2519">
        <v>1.78</v>
      </c>
      <c r="U2519">
        <v>0.96</v>
      </c>
      <c r="V2519">
        <v>1.29</v>
      </c>
      <c r="W2519">
        <v>2.62</v>
      </c>
      <c r="X2519">
        <v>1.18</v>
      </c>
      <c r="Y2519">
        <v>0.28999999999999998</v>
      </c>
      <c r="Z2519">
        <v>0.96</v>
      </c>
      <c r="AA2519">
        <v>10.16</v>
      </c>
      <c r="AB2519">
        <v>2.88</v>
      </c>
      <c r="AC2519">
        <v>3.21</v>
      </c>
      <c r="AD2519">
        <v>6.86</v>
      </c>
      <c r="AE2519">
        <v>7.79</v>
      </c>
      <c r="AF2519">
        <v>5.31</v>
      </c>
      <c r="AG2519" t="str">
        <f>HYPERLINK("https://finance.naver.com/item/fchart.naver?code=020710", "시공테크 차트보기")</f>
        <v>시공테크 차트보기</v>
      </c>
    </row>
    <row r="2520" spans="1:33" x14ac:dyDescent="0.3">
      <c r="A2520" t="s">
        <v>10107</v>
      </c>
      <c r="B2520" t="s">
        <v>55</v>
      </c>
      <c r="C2520" t="s">
        <v>10108</v>
      </c>
      <c r="D2520">
        <v>2089832.43</v>
      </c>
      <c r="E2520" t="s">
        <v>10109</v>
      </c>
      <c r="F2520">
        <v>19.82</v>
      </c>
      <c r="G2520">
        <v>4.3600001335144043</v>
      </c>
      <c r="H2520">
        <v>335</v>
      </c>
      <c r="I2520">
        <v>0</v>
      </c>
      <c r="J2520" t="s">
        <v>10110</v>
      </c>
      <c r="K2520">
        <v>8770</v>
      </c>
      <c r="L2520">
        <v>6640</v>
      </c>
      <c r="M2520">
        <v>-24.29</v>
      </c>
      <c r="N2520">
        <v>-21.14</v>
      </c>
      <c r="O2520">
        <v>34</v>
      </c>
      <c r="P2520">
        <v>33.69</v>
      </c>
      <c r="Q2520">
        <v>-25.73</v>
      </c>
      <c r="R2520">
        <v>-27.8</v>
      </c>
      <c r="S2520">
        <v>-1.69</v>
      </c>
      <c r="T2520">
        <v>7.34</v>
      </c>
      <c r="U2520">
        <v>5.35</v>
      </c>
      <c r="V2520">
        <v>8.01</v>
      </c>
      <c r="W2520">
        <v>5.32</v>
      </c>
      <c r="X2520">
        <v>2.19</v>
      </c>
      <c r="Y2520">
        <v>1.89</v>
      </c>
      <c r="Z2520">
        <v>2.88</v>
      </c>
      <c r="AA2520">
        <v>6.36</v>
      </c>
      <c r="AB2520">
        <v>4.21</v>
      </c>
      <c r="AC2520">
        <v>4.84</v>
      </c>
      <c r="AD2520">
        <v>12.69</v>
      </c>
      <c r="AE2520">
        <v>0.89</v>
      </c>
      <c r="AF2520">
        <v>5.3116666666666674</v>
      </c>
      <c r="AG2520" t="str">
        <f>HYPERLINK("https://finance.naver.com/item/fchart.naver?code=168360", "펨트론 차트보기")</f>
        <v>펨트론 차트보기</v>
      </c>
    </row>
    <row r="2521" spans="1:33" x14ac:dyDescent="0.3">
      <c r="A2521" t="s">
        <v>10111</v>
      </c>
      <c r="B2521" t="s">
        <v>34</v>
      </c>
      <c r="C2521" t="s">
        <v>10112</v>
      </c>
      <c r="D2521">
        <v>54202.76</v>
      </c>
      <c r="E2521" t="s">
        <v>10113</v>
      </c>
      <c r="F2521">
        <v>0</v>
      </c>
      <c r="G2521">
        <v>0.2099999934434891</v>
      </c>
      <c r="H2521">
        <v>0</v>
      </c>
      <c r="I2521">
        <v>2.8499999046325679</v>
      </c>
      <c r="J2521" t="s">
        <v>10114</v>
      </c>
      <c r="K2521">
        <v>56700</v>
      </c>
      <c r="L2521">
        <v>35050</v>
      </c>
      <c r="M2521">
        <v>-38.18</v>
      </c>
      <c r="N2521">
        <v>-12.7</v>
      </c>
      <c r="O2521">
        <v>-6.93</v>
      </c>
      <c r="P2521">
        <v>-4.7699999999999996</v>
      </c>
      <c r="Q2521">
        <v>-22.78</v>
      </c>
      <c r="R2521">
        <v>-4.0999999999999996</v>
      </c>
      <c r="S2521">
        <v>9.44</v>
      </c>
      <c r="T2521">
        <v>0.88</v>
      </c>
      <c r="U2521">
        <v>1.77</v>
      </c>
      <c r="V2521">
        <v>2.92</v>
      </c>
      <c r="W2521">
        <v>4.28</v>
      </c>
      <c r="X2521">
        <v>1.73</v>
      </c>
      <c r="Y2521">
        <v>2.23</v>
      </c>
      <c r="Z2521">
        <v>14.43</v>
      </c>
      <c r="AA2521">
        <v>3.92</v>
      </c>
      <c r="AB2521">
        <v>1.63</v>
      </c>
      <c r="AC2521">
        <v>5.32</v>
      </c>
      <c r="AD2521">
        <v>2.37</v>
      </c>
      <c r="AE2521">
        <v>4.2300000000000004</v>
      </c>
      <c r="AF2521">
        <v>5.3166666666666673</v>
      </c>
      <c r="AG2521" t="str">
        <f>HYPERLINK("https://finance.naver.com/item/fchart.naver?code=000210", "DL 차트보기")</f>
        <v>DL 차트보기</v>
      </c>
    </row>
    <row r="2522" spans="1:33" x14ac:dyDescent="0.3">
      <c r="A2522" t="s">
        <v>10115</v>
      </c>
      <c r="B2522" t="s">
        <v>34</v>
      </c>
      <c r="C2522" t="s">
        <v>10116</v>
      </c>
      <c r="D2522">
        <v>258250.76</v>
      </c>
      <c r="E2522" t="s">
        <v>10117</v>
      </c>
      <c r="J2522" t="s">
        <v>10118</v>
      </c>
      <c r="K2522">
        <v>3430</v>
      </c>
      <c r="L2522">
        <v>3220</v>
      </c>
      <c r="M2522">
        <v>-6.12</v>
      </c>
      <c r="N2522">
        <v>-3.01</v>
      </c>
      <c r="O2522">
        <v>-5.34</v>
      </c>
      <c r="P2522">
        <v>-9.3000000000000007</v>
      </c>
      <c r="Q2522">
        <v>1.42</v>
      </c>
      <c r="R2522">
        <v>16.55</v>
      </c>
      <c r="S2522">
        <v>-3.69</v>
      </c>
      <c r="T2522">
        <v>0.86</v>
      </c>
      <c r="U2522">
        <v>1.21</v>
      </c>
      <c r="V2522">
        <v>1.92</v>
      </c>
      <c r="W2522">
        <v>2.35</v>
      </c>
      <c r="X2522">
        <v>1.05</v>
      </c>
      <c r="Y2522">
        <v>1.32</v>
      </c>
      <c r="Z2522">
        <v>3.5</v>
      </c>
      <c r="AA2522">
        <v>4.41</v>
      </c>
      <c r="AB2522">
        <v>4.84</v>
      </c>
      <c r="AC2522">
        <v>0.6</v>
      </c>
      <c r="AD2522">
        <v>15.76</v>
      </c>
      <c r="AE2522">
        <v>2.8</v>
      </c>
      <c r="AF2522">
        <v>5.3183333333333334</v>
      </c>
      <c r="AG2522" t="str">
        <f>HYPERLINK("https://finance.naver.com/item/fchart.naver?code=330590", "롯데리츠 차트보기")</f>
        <v>롯데리츠 차트보기</v>
      </c>
    </row>
    <row r="2523" spans="1:33" x14ac:dyDescent="0.3">
      <c r="A2523" t="s">
        <v>10119</v>
      </c>
      <c r="B2523" t="s">
        <v>55</v>
      </c>
      <c r="C2523" t="s">
        <v>10120</v>
      </c>
      <c r="D2523">
        <v>21615.19</v>
      </c>
      <c r="E2523" t="s">
        <v>10121</v>
      </c>
      <c r="F2523">
        <v>14.58</v>
      </c>
      <c r="G2523">
        <v>0.93000000715255737</v>
      </c>
      <c r="H2523">
        <v>285</v>
      </c>
      <c r="I2523">
        <v>1.029999971389771</v>
      </c>
      <c r="J2523" t="s">
        <v>10122</v>
      </c>
      <c r="K2523">
        <v>6790</v>
      </c>
      <c r="L2523">
        <v>4155</v>
      </c>
      <c r="M2523">
        <v>-38.81</v>
      </c>
      <c r="N2523">
        <v>10.36</v>
      </c>
      <c r="O2523">
        <v>-13.68</v>
      </c>
      <c r="P2523">
        <v>-6.16</v>
      </c>
      <c r="Q2523">
        <v>-9.3000000000000007</v>
      </c>
      <c r="R2523">
        <v>-8.92</v>
      </c>
      <c r="S2523">
        <v>-16.899999999999999</v>
      </c>
      <c r="T2523">
        <v>2.29</v>
      </c>
      <c r="U2523">
        <v>1.58</v>
      </c>
      <c r="V2523">
        <v>2.57</v>
      </c>
      <c r="W2523">
        <v>4.71</v>
      </c>
      <c r="X2523">
        <v>1.86</v>
      </c>
      <c r="Y2523">
        <v>1.74</v>
      </c>
      <c r="Z2523">
        <v>4.5199999999999996</v>
      </c>
      <c r="AA2523">
        <v>8.66</v>
      </c>
      <c r="AB2523">
        <v>2.4</v>
      </c>
      <c r="AC2523">
        <v>1.97</v>
      </c>
      <c r="AD2523">
        <v>4.8</v>
      </c>
      <c r="AE2523">
        <v>9.7100000000000009</v>
      </c>
      <c r="AF2523">
        <v>5.3433333333333337</v>
      </c>
      <c r="AG2523" t="str">
        <f>HYPERLINK("https://finance.naver.com/item/fchart.naver?code=277070", "린드먼아시아 차트보기")</f>
        <v>린드먼아시아 차트보기</v>
      </c>
    </row>
    <row r="2524" spans="1:33" x14ac:dyDescent="0.3">
      <c r="A2524" t="s">
        <v>10123</v>
      </c>
      <c r="B2524" t="s">
        <v>55</v>
      </c>
      <c r="C2524" t="s">
        <v>10124</v>
      </c>
      <c r="D2524">
        <v>129282.33</v>
      </c>
      <c r="E2524" t="s">
        <v>10125</v>
      </c>
      <c r="F2524">
        <v>28.61</v>
      </c>
      <c r="G2524">
        <v>1.450000047683716</v>
      </c>
      <c r="H2524">
        <v>360</v>
      </c>
      <c r="I2524">
        <v>0</v>
      </c>
      <c r="J2524" t="s">
        <v>10126</v>
      </c>
      <c r="K2524">
        <v>16790</v>
      </c>
      <c r="L2524">
        <v>10300</v>
      </c>
      <c r="M2524">
        <v>-38.65</v>
      </c>
      <c r="N2524">
        <v>-16.12</v>
      </c>
      <c r="O2524">
        <v>-17.71</v>
      </c>
      <c r="P2524">
        <v>16.77</v>
      </c>
      <c r="Q2524">
        <v>-2.6</v>
      </c>
      <c r="R2524">
        <v>-12.83</v>
      </c>
      <c r="S2524">
        <v>-16.309999999999999</v>
      </c>
      <c r="T2524">
        <v>4.8099999999999996</v>
      </c>
      <c r="U2524">
        <v>1.71</v>
      </c>
      <c r="V2524">
        <v>6.46</v>
      </c>
      <c r="W2524">
        <v>4.7699999999999996</v>
      </c>
      <c r="X2524">
        <v>3.02</v>
      </c>
      <c r="Y2524">
        <v>1.47</v>
      </c>
      <c r="Z2524">
        <v>3.35</v>
      </c>
      <c r="AA2524">
        <v>10.36</v>
      </c>
      <c r="AB2524">
        <v>2.6</v>
      </c>
      <c r="AC2524">
        <v>0.55000000000000004</v>
      </c>
      <c r="AD2524">
        <v>4.25</v>
      </c>
      <c r="AE2524">
        <v>11.1</v>
      </c>
      <c r="AF2524">
        <v>5.3683333333333332</v>
      </c>
      <c r="AG2524" t="str">
        <f>HYPERLINK("https://finance.naver.com/item/fchart.naver?code=389260", "대명에너지 차트보기")</f>
        <v>대명에너지 차트보기</v>
      </c>
    </row>
    <row r="2525" spans="1:33" x14ac:dyDescent="0.3">
      <c r="A2525" t="s">
        <v>10127</v>
      </c>
      <c r="B2525" t="s">
        <v>55</v>
      </c>
      <c r="C2525" t="s">
        <v>10128</v>
      </c>
      <c r="D2525">
        <v>11422.86</v>
      </c>
      <c r="E2525" t="s">
        <v>10129</v>
      </c>
      <c r="J2525" t="s">
        <v>10130</v>
      </c>
      <c r="K2525">
        <v>3460</v>
      </c>
      <c r="L2525">
        <v>3370</v>
      </c>
      <c r="M2525">
        <v>-2.6</v>
      </c>
      <c r="N2525">
        <v>12.71</v>
      </c>
      <c r="O2525">
        <v>27.45</v>
      </c>
      <c r="P2525">
        <v>7.21</v>
      </c>
      <c r="Q2525">
        <v>-19.02</v>
      </c>
      <c r="R2525">
        <v>-5.13</v>
      </c>
      <c r="S2525">
        <v>-6.97</v>
      </c>
      <c r="T2525">
        <v>1.76</v>
      </c>
      <c r="U2525">
        <v>2.42</v>
      </c>
      <c r="V2525">
        <v>2.42</v>
      </c>
      <c r="W2525">
        <v>5.37</v>
      </c>
      <c r="X2525">
        <v>1.44</v>
      </c>
      <c r="Y2525">
        <v>1.83</v>
      </c>
      <c r="Z2525">
        <v>7.22</v>
      </c>
      <c r="AA2525">
        <v>11.34</v>
      </c>
      <c r="AB2525">
        <v>2.98</v>
      </c>
      <c r="AC2525">
        <v>3.54</v>
      </c>
      <c r="AD2525">
        <v>3.56</v>
      </c>
      <c r="AE2525">
        <v>3.81</v>
      </c>
      <c r="AF2525">
        <v>5.4083333333333323</v>
      </c>
      <c r="AG2525" t="str">
        <f>HYPERLINK("https://finance.naver.com/item/fchart.naver?code=950110", "SBI핀테크솔루션즈 차트보기")</f>
        <v>SBI핀테크솔루션즈 차트보기</v>
      </c>
    </row>
    <row r="2526" spans="1:33" x14ac:dyDescent="0.3">
      <c r="A2526" t="s">
        <v>10131</v>
      </c>
      <c r="B2526" t="s">
        <v>55</v>
      </c>
      <c r="C2526" t="s">
        <v>10132</v>
      </c>
      <c r="D2526">
        <v>35412.29</v>
      </c>
      <c r="E2526" t="s">
        <v>10133</v>
      </c>
      <c r="F2526">
        <v>29.22</v>
      </c>
      <c r="G2526">
        <v>0.9100000262260437</v>
      </c>
      <c r="H2526">
        <v>49</v>
      </c>
      <c r="I2526">
        <v>3.4900000095367432</v>
      </c>
      <c r="J2526" t="s">
        <v>10134</v>
      </c>
      <c r="K2526">
        <v>1929</v>
      </c>
      <c r="L2526">
        <v>1432</v>
      </c>
      <c r="M2526">
        <v>-25.76</v>
      </c>
      <c r="N2526">
        <v>1.49</v>
      </c>
      <c r="O2526">
        <v>1.87</v>
      </c>
      <c r="P2526">
        <v>-7.15</v>
      </c>
      <c r="Q2526">
        <v>-11.75</v>
      </c>
      <c r="R2526">
        <v>-7.12</v>
      </c>
      <c r="S2526">
        <v>-9.14</v>
      </c>
      <c r="T2526">
        <v>1.5</v>
      </c>
      <c r="U2526">
        <v>1.47</v>
      </c>
      <c r="V2526">
        <v>1.47</v>
      </c>
      <c r="W2526">
        <v>3.23</v>
      </c>
      <c r="X2526">
        <v>0.97</v>
      </c>
      <c r="Y2526">
        <v>0.63</v>
      </c>
      <c r="Z2526">
        <v>0.99</v>
      </c>
      <c r="AA2526">
        <v>1.27</v>
      </c>
      <c r="AB2526">
        <v>4.8600000000000003</v>
      </c>
      <c r="AC2526">
        <v>3.64</v>
      </c>
      <c r="AD2526">
        <v>7.34</v>
      </c>
      <c r="AE2526">
        <v>14.51</v>
      </c>
      <c r="AF2526">
        <v>5.4349999999999996</v>
      </c>
      <c r="AG2526" t="str">
        <f>HYPERLINK("https://finance.naver.com/item/fchart.naver?code=065530", "와이어블 차트보기")</f>
        <v>와이어블 차트보기</v>
      </c>
    </row>
    <row r="2527" spans="1:33" x14ac:dyDescent="0.3">
      <c r="A2527" t="s">
        <v>10135</v>
      </c>
      <c r="B2527" t="s">
        <v>55</v>
      </c>
      <c r="C2527" t="s">
        <v>10136</v>
      </c>
      <c r="D2527">
        <v>45173.24</v>
      </c>
      <c r="E2527" t="s">
        <v>10137</v>
      </c>
      <c r="F2527">
        <v>26.94</v>
      </c>
      <c r="G2527">
        <v>2.1400001049041748</v>
      </c>
      <c r="H2527">
        <v>594</v>
      </c>
      <c r="I2527">
        <v>0.31000000238418579</v>
      </c>
      <c r="J2527" t="s">
        <v>10138</v>
      </c>
      <c r="K2527">
        <v>11110</v>
      </c>
      <c r="L2527">
        <v>16000</v>
      </c>
      <c r="M2527">
        <v>44.01</v>
      </c>
      <c r="N2527">
        <v>-11.7</v>
      </c>
      <c r="O2527">
        <v>3.87</v>
      </c>
      <c r="P2527">
        <v>32.94</v>
      </c>
      <c r="Q2527">
        <v>1.64</v>
      </c>
      <c r="R2527">
        <v>-25.56</v>
      </c>
      <c r="S2527">
        <v>44.32</v>
      </c>
      <c r="T2527">
        <v>2.54</v>
      </c>
      <c r="U2527">
        <v>2.78</v>
      </c>
      <c r="V2527">
        <v>3.35</v>
      </c>
      <c r="W2527">
        <v>5.78</v>
      </c>
      <c r="X2527">
        <v>3.88</v>
      </c>
      <c r="Y2527">
        <v>4.45</v>
      </c>
      <c r="Z2527">
        <v>4.6100000000000003</v>
      </c>
      <c r="AA2527">
        <v>1.39</v>
      </c>
      <c r="AB2527">
        <v>9.83</v>
      </c>
      <c r="AC2527">
        <v>0.28000000000000003</v>
      </c>
      <c r="AD2527">
        <v>6.59</v>
      </c>
      <c r="AE2527">
        <v>9.9600000000000009</v>
      </c>
      <c r="AF2527">
        <v>5.4433333333333316</v>
      </c>
      <c r="AG2527" t="str">
        <f>HYPERLINK("https://finance.naver.com/item/fchart.naver?code=071280", "로체시스템즈 차트보기")</f>
        <v>로체시스템즈 차트보기</v>
      </c>
    </row>
    <row r="2528" spans="1:33" x14ac:dyDescent="0.3">
      <c r="A2528" t="s">
        <v>10139</v>
      </c>
      <c r="B2528" t="s">
        <v>55</v>
      </c>
      <c r="C2528" t="s">
        <v>10140</v>
      </c>
      <c r="D2528">
        <v>339324.29</v>
      </c>
      <c r="E2528" t="s">
        <v>10141</v>
      </c>
      <c r="F2528">
        <v>13.57</v>
      </c>
      <c r="G2528">
        <v>1.559999942779541</v>
      </c>
      <c r="H2528">
        <v>375</v>
      </c>
      <c r="I2528">
        <v>0</v>
      </c>
      <c r="J2528" t="s">
        <v>10142</v>
      </c>
      <c r="K2528">
        <v>10500</v>
      </c>
      <c r="L2528">
        <v>5090</v>
      </c>
      <c r="M2528">
        <v>-51.52</v>
      </c>
      <c r="N2528">
        <v>15.68</v>
      </c>
      <c r="O2528">
        <v>-22.73</v>
      </c>
      <c r="P2528">
        <v>-15.46</v>
      </c>
      <c r="Q2528">
        <v>39.729999999999997</v>
      </c>
      <c r="R2528">
        <v>-21.76</v>
      </c>
      <c r="S2528">
        <v>-16.989999999999998</v>
      </c>
      <c r="T2528">
        <v>6.92</v>
      </c>
      <c r="U2528">
        <v>2.41</v>
      </c>
      <c r="V2528">
        <v>7.4</v>
      </c>
      <c r="W2528">
        <v>9.07</v>
      </c>
      <c r="X2528">
        <v>2.68</v>
      </c>
      <c r="Y2528">
        <v>2.65</v>
      </c>
      <c r="Z2528">
        <v>2.27</v>
      </c>
      <c r="AA2528">
        <v>9.43</v>
      </c>
      <c r="AB2528">
        <v>2.09</v>
      </c>
      <c r="AC2528">
        <v>4.38</v>
      </c>
      <c r="AD2528">
        <v>8.1199999999999992</v>
      </c>
      <c r="AE2528">
        <v>6.41</v>
      </c>
      <c r="AF2528">
        <v>5.45</v>
      </c>
      <c r="AG2528" t="str">
        <f>HYPERLINK("https://finance.naver.com/item/fchart.naver?code=430690", "한싹 차트보기")</f>
        <v>한싹 차트보기</v>
      </c>
    </row>
    <row r="2529" spans="1:33" x14ac:dyDescent="0.3">
      <c r="A2529" t="s">
        <v>10143</v>
      </c>
      <c r="B2529" t="s">
        <v>34</v>
      </c>
      <c r="C2529" t="s">
        <v>10144</v>
      </c>
      <c r="D2529">
        <v>5665.67</v>
      </c>
      <c r="E2529" t="s">
        <v>10145</v>
      </c>
      <c r="F2529">
        <v>0</v>
      </c>
      <c r="G2529">
        <v>0.51999998092651367</v>
      </c>
      <c r="H2529">
        <v>0</v>
      </c>
      <c r="I2529">
        <v>0</v>
      </c>
      <c r="J2529" t="s">
        <v>10146</v>
      </c>
      <c r="K2529">
        <v>9580</v>
      </c>
      <c r="L2529">
        <v>4655</v>
      </c>
      <c r="M2529">
        <v>-51.41</v>
      </c>
      <c r="N2529">
        <v>-6.81</v>
      </c>
      <c r="O2529">
        <v>-11.79</v>
      </c>
      <c r="P2529">
        <v>7.95</v>
      </c>
      <c r="Q2529">
        <v>-7.48</v>
      </c>
      <c r="R2529">
        <v>-14.8</v>
      </c>
      <c r="S2529">
        <v>-9.61</v>
      </c>
      <c r="T2529">
        <v>1.9</v>
      </c>
      <c r="U2529">
        <v>0.97</v>
      </c>
      <c r="V2529">
        <v>2.96</v>
      </c>
      <c r="W2529">
        <v>1.1399999999999999</v>
      </c>
      <c r="X2529">
        <v>2.64</v>
      </c>
      <c r="Y2529">
        <v>4.4000000000000004</v>
      </c>
      <c r="Z2529">
        <v>3.58</v>
      </c>
      <c r="AA2529">
        <v>12.15</v>
      </c>
      <c r="AB2529">
        <v>2.69</v>
      </c>
      <c r="AC2529">
        <v>6.56</v>
      </c>
      <c r="AD2529">
        <v>5.61</v>
      </c>
      <c r="AE2529">
        <v>2.1800000000000002</v>
      </c>
      <c r="AF2529">
        <v>5.4616666666666669</v>
      </c>
      <c r="AG2529" t="str">
        <f>HYPERLINK("https://finance.naver.com/item/fchart.naver?code=025620", "제이준코스메틱 차트보기")</f>
        <v>제이준코스메틱 차트보기</v>
      </c>
    </row>
    <row r="2530" spans="1:33" x14ac:dyDescent="0.3">
      <c r="A2530" t="s">
        <v>10147</v>
      </c>
      <c r="B2530" t="s">
        <v>55</v>
      </c>
      <c r="C2530" t="s">
        <v>10148</v>
      </c>
      <c r="D2530">
        <v>144457.14000000001</v>
      </c>
      <c r="E2530" t="s">
        <v>10149</v>
      </c>
      <c r="F2530">
        <v>13.26</v>
      </c>
      <c r="G2530">
        <v>1.7400000095367429</v>
      </c>
      <c r="H2530">
        <v>680</v>
      </c>
      <c r="I2530">
        <v>2</v>
      </c>
      <c r="J2530" t="s">
        <v>10150</v>
      </c>
      <c r="K2530">
        <v>7500</v>
      </c>
      <c r="L2530">
        <v>9020</v>
      </c>
      <c r="M2530">
        <v>20.27</v>
      </c>
      <c r="N2530">
        <v>-2.06</v>
      </c>
      <c r="O2530">
        <v>-32.96</v>
      </c>
      <c r="P2530">
        <v>37.93</v>
      </c>
      <c r="Q2530">
        <v>23.85</v>
      </c>
      <c r="R2530">
        <v>7.34</v>
      </c>
      <c r="S2530">
        <v>-5.3</v>
      </c>
      <c r="T2530">
        <v>2.25</v>
      </c>
      <c r="U2530">
        <v>2.1800000000000002</v>
      </c>
      <c r="V2530">
        <v>19.170000000000002</v>
      </c>
      <c r="W2530">
        <v>2.17</v>
      </c>
      <c r="X2530">
        <v>2.72</v>
      </c>
      <c r="Y2530">
        <v>3.43</v>
      </c>
      <c r="Z2530">
        <v>0.92</v>
      </c>
      <c r="AA2530">
        <v>15.12</v>
      </c>
      <c r="AB2530">
        <v>1.98</v>
      </c>
      <c r="AC2530">
        <v>10.99</v>
      </c>
      <c r="AD2530">
        <v>2.7</v>
      </c>
      <c r="AE2530">
        <v>1.55</v>
      </c>
      <c r="AF2530">
        <v>5.543333333333333</v>
      </c>
      <c r="AG2530" t="str">
        <f>HYPERLINK("https://finance.naver.com/item/fchart.naver?code=064850", "에프앤가이드 차트보기")</f>
        <v>에프앤가이드 차트보기</v>
      </c>
    </row>
    <row r="2531" spans="1:33" x14ac:dyDescent="0.3">
      <c r="A2531" t="s">
        <v>10151</v>
      </c>
      <c r="B2531" t="s">
        <v>55</v>
      </c>
      <c r="C2531" t="s">
        <v>10152</v>
      </c>
      <c r="D2531">
        <v>106877.1</v>
      </c>
      <c r="E2531" t="s">
        <v>10153</v>
      </c>
      <c r="F2531">
        <v>0</v>
      </c>
      <c r="G2531">
        <v>1.2599999904632571</v>
      </c>
      <c r="H2531">
        <v>0</v>
      </c>
      <c r="I2531">
        <v>0</v>
      </c>
      <c r="J2531" t="s">
        <v>10154</v>
      </c>
      <c r="K2531">
        <v>2890</v>
      </c>
      <c r="L2531">
        <v>3690</v>
      </c>
      <c r="M2531">
        <v>27.68</v>
      </c>
      <c r="N2531">
        <v>-7.98</v>
      </c>
      <c r="O2531">
        <v>-10.119999999999999</v>
      </c>
      <c r="P2531">
        <v>-13.27</v>
      </c>
      <c r="Q2531">
        <v>-46.38</v>
      </c>
      <c r="R2531">
        <v>250.23</v>
      </c>
      <c r="S2531">
        <v>-16.260000000000002</v>
      </c>
      <c r="T2531">
        <v>3.61</v>
      </c>
      <c r="U2531">
        <v>5.46</v>
      </c>
      <c r="V2531">
        <v>7.12</v>
      </c>
      <c r="W2531">
        <v>9.7200000000000006</v>
      </c>
      <c r="X2531">
        <v>12.57</v>
      </c>
      <c r="Y2531">
        <v>6.01</v>
      </c>
      <c r="Z2531">
        <v>2.21</v>
      </c>
      <c r="AA2531">
        <v>1.85</v>
      </c>
      <c r="AB2531">
        <v>1.86</v>
      </c>
      <c r="AC2531">
        <v>4.7699999999999996</v>
      </c>
      <c r="AD2531">
        <v>19.91</v>
      </c>
      <c r="AE2531">
        <v>2.71</v>
      </c>
      <c r="AF2531">
        <v>5.5516666666666667</v>
      </c>
      <c r="AG2531" t="str">
        <f>HYPERLINK("https://finance.naver.com/item/fchart.naver?code=070300", "엑스큐어 차트보기")</f>
        <v>엑스큐어 차트보기</v>
      </c>
    </row>
    <row r="2532" spans="1:33" x14ac:dyDescent="0.3">
      <c r="A2532" t="s">
        <v>10155</v>
      </c>
      <c r="B2532" t="s">
        <v>55</v>
      </c>
      <c r="C2532" t="s">
        <v>10156</v>
      </c>
      <c r="D2532">
        <v>13271.9</v>
      </c>
      <c r="E2532" t="s">
        <v>10157</v>
      </c>
      <c r="F2532">
        <v>15.87</v>
      </c>
      <c r="G2532">
        <v>0.62999999523162842</v>
      </c>
      <c r="H2532">
        <v>54</v>
      </c>
      <c r="I2532">
        <v>0</v>
      </c>
      <c r="J2532" t="s">
        <v>10158</v>
      </c>
      <c r="K2532">
        <v>1234</v>
      </c>
      <c r="L2532">
        <v>857</v>
      </c>
      <c r="M2532">
        <v>-30.55</v>
      </c>
      <c r="N2532">
        <v>2.63</v>
      </c>
      <c r="O2532">
        <v>-6.34</v>
      </c>
      <c r="P2532">
        <v>-7.87</v>
      </c>
      <c r="Q2532">
        <v>-11.34</v>
      </c>
      <c r="R2532">
        <v>3.2</v>
      </c>
      <c r="S2532">
        <v>-9.6199999999999992</v>
      </c>
      <c r="T2532">
        <v>1.67</v>
      </c>
      <c r="U2532">
        <v>1.1299999999999999</v>
      </c>
      <c r="V2532">
        <v>1.18</v>
      </c>
      <c r="W2532">
        <v>2.33</v>
      </c>
      <c r="X2532">
        <v>1.68</v>
      </c>
      <c r="Y2532">
        <v>0.75</v>
      </c>
      <c r="Z2532">
        <v>1.57</v>
      </c>
      <c r="AA2532">
        <v>5.61</v>
      </c>
      <c r="AB2532">
        <v>6.67</v>
      </c>
      <c r="AC2532">
        <v>4.87</v>
      </c>
      <c r="AD2532">
        <v>1.9</v>
      </c>
      <c r="AE2532">
        <v>12.83</v>
      </c>
      <c r="AF2532">
        <v>5.5750000000000002</v>
      </c>
      <c r="AG2532" t="str">
        <f>HYPERLINK("https://finance.naver.com/item/fchart.naver?code=045510", "정원엔시스 차트보기")</f>
        <v>정원엔시스 차트보기</v>
      </c>
    </row>
    <row r="2533" spans="1:33" x14ac:dyDescent="0.3">
      <c r="A2533" t="s">
        <v>10159</v>
      </c>
      <c r="B2533" t="s">
        <v>55</v>
      </c>
      <c r="C2533" t="s">
        <v>10160</v>
      </c>
      <c r="D2533">
        <v>18604.29</v>
      </c>
      <c r="E2533" t="s">
        <v>10161</v>
      </c>
      <c r="F2533">
        <v>0</v>
      </c>
      <c r="G2533">
        <v>0</v>
      </c>
      <c r="H2533">
        <v>0</v>
      </c>
      <c r="I2533">
        <v>0</v>
      </c>
      <c r="J2533" t="s">
        <v>10162</v>
      </c>
      <c r="K2533">
        <v>9970</v>
      </c>
      <c r="L2533">
        <v>10430</v>
      </c>
      <c r="M2533">
        <v>4.6100000000000003</v>
      </c>
      <c r="N2533">
        <v>0.28999999999999998</v>
      </c>
      <c r="O2533">
        <v>1.36</v>
      </c>
      <c r="P2533">
        <v>0.1</v>
      </c>
      <c r="Q2533">
        <v>0.98</v>
      </c>
      <c r="R2533">
        <v>2.2000000000000002</v>
      </c>
      <c r="S2533">
        <v>0.2</v>
      </c>
      <c r="T2533">
        <v>0.05</v>
      </c>
      <c r="U2533">
        <v>0.14000000000000001</v>
      </c>
      <c r="V2533">
        <v>0.09</v>
      </c>
      <c r="W2533">
        <v>0.23</v>
      </c>
      <c r="X2533">
        <v>0.19</v>
      </c>
      <c r="Y2533">
        <v>0.18</v>
      </c>
      <c r="Z2533">
        <v>5.8</v>
      </c>
      <c r="AA2533">
        <v>9.7100000000000009</v>
      </c>
      <c r="AB2533">
        <v>1.1100000000000001</v>
      </c>
      <c r="AC2533">
        <v>4.26</v>
      </c>
      <c r="AD2533">
        <v>11.58</v>
      </c>
      <c r="AE2533">
        <v>1.1100000000000001</v>
      </c>
      <c r="AF2533">
        <v>5.5949999999999998</v>
      </c>
      <c r="AG2533" t="str">
        <f>HYPERLINK("https://finance.naver.com/item/fchart.naver?code=435620", "하나금융25호스팩 차트보기")</f>
        <v>하나금융25호스팩 차트보기</v>
      </c>
    </row>
    <row r="2534" spans="1:33" x14ac:dyDescent="0.3">
      <c r="A2534" t="s">
        <v>10163</v>
      </c>
      <c r="B2534" t="s">
        <v>55</v>
      </c>
      <c r="C2534" t="s">
        <v>10164</v>
      </c>
      <c r="D2534">
        <v>310897.57</v>
      </c>
      <c r="E2534" t="s">
        <v>10165</v>
      </c>
      <c r="F2534">
        <v>0</v>
      </c>
      <c r="G2534">
        <v>11.89000034332275</v>
      </c>
      <c r="H2534">
        <v>0</v>
      </c>
      <c r="I2534">
        <v>0</v>
      </c>
      <c r="J2534" t="s">
        <v>10166</v>
      </c>
      <c r="K2534">
        <v>3530</v>
      </c>
      <c r="L2534">
        <v>20000</v>
      </c>
      <c r="M2534">
        <v>466.57</v>
      </c>
      <c r="N2534">
        <v>-4.53</v>
      </c>
      <c r="O2534">
        <v>24.78</v>
      </c>
      <c r="P2534">
        <v>137.31</v>
      </c>
      <c r="Q2534">
        <v>104.04</v>
      </c>
      <c r="R2534">
        <v>0</v>
      </c>
      <c r="S2534">
        <v>-6.27</v>
      </c>
      <c r="T2534">
        <v>6.62</v>
      </c>
      <c r="U2534">
        <v>6.6</v>
      </c>
      <c r="V2534">
        <v>10.66</v>
      </c>
      <c r="W2534">
        <v>8.1</v>
      </c>
      <c r="X2534">
        <v>2.85</v>
      </c>
      <c r="Y2534">
        <v>1.82</v>
      </c>
      <c r="Z2534">
        <v>0.68</v>
      </c>
      <c r="AA2534">
        <v>3.75</v>
      </c>
      <c r="AB2534">
        <v>12.88</v>
      </c>
      <c r="AC2534">
        <v>12.84</v>
      </c>
      <c r="AD2534">
        <v>0</v>
      </c>
      <c r="AE2534">
        <v>3.45</v>
      </c>
      <c r="AF2534">
        <v>5.6000000000000014</v>
      </c>
      <c r="AG2534" t="str">
        <f>HYPERLINK("https://finance.naver.com/item/fchart.naver?code=123330", "제닉 차트보기")</f>
        <v>제닉 차트보기</v>
      </c>
    </row>
    <row r="2535" spans="1:33" x14ac:dyDescent="0.3">
      <c r="A2535" t="s">
        <v>10167</v>
      </c>
      <c r="B2535" t="s">
        <v>34</v>
      </c>
      <c r="C2535" t="s">
        <v>10168</v>
      </c>
      <c r="D2535">
        <v>809475.33</v>
      </c>
      <c r="E2535" t="s">
        <v>10169</v>
      </c>
      <c r="F2535">
        <v>0</v>
      </c>
      <c r="G2535">
        <v>0.80000001192092896</v>
      </c>
      <c r="H2535">
        <v>0</v>
      </c>
      <c r="I2535">
        <v>0</v>
      </c>
      <c r="J2535" t="s">
        <v>10170</v>
      </c>
      <c r="K2535">
        <v>553</v>
      </c>
      <c r="L2535">
        <v>344</v>
      </c>
      <c r="M2535">
        <v>-37.79</v>
      </c>
      <c r="N2535">
        <v>-8.75</v>
      </c>
      <c r="O2535">
        <v>8.5</v>
      </c>
      <c r="P2535">
        <v>-10.8</v>
      </c>
      <c r="Q2535">
        <v>-13.59</v>
      </c>
      <c r="R2535">
        <v>-59.82</v>
      </c>
      <c r="S2535">
        <v>90.62</v>
      </c>
      <c r="T2535">
        <v>3.2</v>
      </c>
      <c r="U2535">
        <v>1.1599999999999999</v>
      </c>
      <c r="V2535">
        <v>2.44</v>
      </c>
      <c r="W2535">
        <v>7.2</v>
      </c>
      <c r="X2535">
        <v>8.17</v>
      </c>
      <c r="Y2535">
        <v>9.02</v>
      </c>
      <c r="Z2535">
        <v>2.73</v>
      </c>
      <c r="AA2535">
        <v>7.33</v>
      </c>
      <c r="AB2535">
        <v>4.43</v>
      </c>
      <c r="AC2535">
        <v>1.89</v>
      </c>
      <c r="AD2535">
        <v>7.32</v>
      </c>
      <c r="AE2535">
        <v>10.050000000000001</v>
      </c>
      <c r="AF2535">
        <v>5.625</v>
      </c>
      <c r="AG2535" t="str">
        <f>HYPERLINK("https://finance.naver.com/item/fchart.naver?code=009810", "플레이그램 차트보기")</f>
        <v>플레이그램 차트보기</v>
      </c>
    </row>
    <row r="2536" spans="1:33" x14ac:dyDescent="0.3">
      <c r="A2536" t="s">
        <v>10171</v>
      </c>
      <c r="B2536" t="s">
        <v>55</v>
      </c>
      <c r="C2536" t="s">
        <v>10172</v>
      </c>
      <c r="D2536">
        <v>16726355.48</v>
      </c>
      <c r="E2536" t="s">
        <v>10173</v>
      </c>
      <c r="F2536">
        <v>0</v>
      </c>
      <c r="G2536">
        <v>3.529999971389771</v>
      </c>
      <c r="H2536">
        <v>0</v>
      </c>
      <c r="I2536">
        <v>0</v>
      </c>
      <c r="J2536" t="s">
        <v>10174</v>
      </c>
      <c r="K2536">
        <v>1471</v>
      </c>
      <c r="L2536">
        <v>3700</v>
      </c>
      <c r="M2536">
        <v>151.53</v>
      </c>
      <c r="N2536">
        <v>38.06</v>
      </c>
      <c r="O2536">
        <v>35.31</v>
      </c>
      <c r="P2536">
        <v>-12.79</v>
      </c>
      <c r="Q2536">
        <v>-25.64</v>
      </c>
      <c r="R2536">
        <v>153.6</v>
      </c>
      <c r="S2536">
        <v>-4.95</v>
      </c>
      <c r="T2536">
        <v>13.09</v>
      </c>
      <c r="U2536">
        <v>5.28</v>
      </c>
      <c r="V2536">
        <v>3.94</v>
      </c>
      <c r="W2536">
        <v>7.96</v>
      </c>
      <c r="X2536">
        <v>9.48</v>
      </c>
      <c r="Y2536">
        <v>3.11</v>
      </c>
      <c r="Z2536">
        <v>2.91</v>
      </c>
      <c r="AA2536">
        <v>6.69</v>
      </c>
      <c r="AB2536">
        <v>3.25</v>
      </c>
      <c r="AC2536">
        <v>3.22</v>
      </c>
      <c r="AD2536">
        <v>16.2</v>
      </c>
      <c r="AE2536">
        <v>1.59</v>
      </c>
      <c r="AF2536">
        <v>5.6433333333333344</v>
      </c>
      <c r="AG2536" t="str">
        <f>HYPERLINK("https://finance.naver.com/item/fchart.naver?code=255220", "SG 차트보기")</f>
        <v>SG 차트보기</v>
      </c>
    </row>
    <row r="2537" spans="1:33" x14ac:dyDescent="0.3">
      <c r="A2537" t="s">
        <v>10175</v>
      </c>
      <c r="B2537" t="s">
        <v>55</v>
      </c>
      <c r="C2537" t="s">
        <v>10176</v>
      </c>
      <c r="D2537">
        <v>10099</v>
      </c>
      <c r="E2537" t="s">
        <v>10177</v>
      </c>
      <c r="F2537">
        <v>7.57</v>
      </c>
      <c r="G2537">
        <v>0.87999999523162842</v>
      </c>
      <c r="H2537">
        <v>834</v>
      </c>
      <c r="I2537">
        <v>2.8499999046325679</v>
      </c>
      <c r="J2537" t="s">
        <v>10178</v>
      </c>
      <c r="K2537">
        <v>9980</v>
      </c>
      <c r="L2537">
        <v>6310</v>
      </c>
      <c r="M2537">
        <v>-36.770000000000003</v>
      </c>
      <c r="N2537">
        <v>-5.1100000000000003</v>
      </c>
      <c r="O2537">
        <v>-11.99</v>
      </c>
      <c r="P2537">
        <v>-7.44</v>
      </c>
      <c r="Q2537">
        <v>1.71</v>
      </c>
      <c r="R2537">
        <v>-4.68</v>
      </c>
      <c r="S2537">
        <v>-5.49</v>
      </c>
      <c r="T2537">
        <v>2.19</v>
      </c>
      <c r="U2537">
        <v>0.95</v>
      </c>
      <c r="V2537">
        <v>0.88</v>
      </c>
      <c r="W2537">
        <v>2.54</v>
      </c>
      <c r="X2537">
        <v>1.04</v>
      </c>
      <c r="Y2537">
        <v>1.02</v>
      </c>
      <c r="Z2537">
        <v>2.33</v>
      </c>
      <c r="AA2537">
        <v>12.62</v>
      </c>
      <c r="AB2537">
        <v>8.4499999999999993</v>
      </c>
      <c r="AC2537">
        <v>0.67</v>
      </c>
      <c r="AD2537">
        <v>4.5</v>
      </c>
      <c r="AE2537">
        <v>5.38</v>
      </c>
      <c r="AF2537">
        <v>5.6583333333333341</v>
      </c>
      <c r="AG2537" t="str">
        <f>HYPERLINK("https://finance.naver.com/item/fchart.naver?code=263690", "디알젬 차트보기")</f>
        <v>디알젬 차트보기</v>
      </c>
    </row>
    <row r="2538" spans="1:33" x14ac:dyDescent="0.3">
      <c r="A2538" t="s">
        <v>10179</v>
      </c>
      <c r="B2538" t="s">
        <v>55</v>
      </c>
      <c r="C2538" t="s">
        <v>10180</v>
      </c>
      <c r="D2538">
        <v>64324.95</v>
      </c>
      <c r="E2538" t="s">
        <v>10181</v>
      </c>
      <c r="F2538">
        <v>0</v>
      </c>
      <c r="G2538">
        <v>5.2699999809265137</v>
      </c>
      <c r="H2538">
        <v>0</v>
      </c>
      <c r="I2538">
        <v>0</v>
      </c>
      <c r="J2538" t="s">
        <v>10182</v>
      </c>
      <c r="K2538">
        <v>1216</v>
      </c>
      <c r="L2538">
        <v>1038</v>
      </c>
      <c r="M2538">
        <v>-14.64</v>
      </c>
      <c r="N2538">
        <v>-2.35</v>
      </c>
      <c r="O2538">
        <v>-11.18</v>
      </c>
      <c r="P2538">
        <v>11.54</v>
      </c>
      <c r="Q2538">
        <v>-14.95</v>
      </c>
      <c r="R2538">
        <v>16.55</v>
      </c>
      <c r="S2538">
        <v>-11.89</v>
      </c>
      <c r="T2538">
        <v>0.75</v>
      </c>
      <c r="U2538">
        <v>1.42</v>
      </c>
      <c r="V2538">
        <v>2.73</v>
      </c>
      <c r="W2538">
        <v>2.2400000000000002</v>
      </c>
      <c r="X2538">
        <v>2.87</v>
      </c>
      <c r="Y2538">
        <v>1.89</v>
      </c>
      <c r="Z2538">
        <v>3.13</v>
      </c>
      <c r="AA2538">
        <v>7.87</v>
      </c>
      <c r="AB2538">
        <v>4.2300000000000004</v>
      </c>
      <c r="AC2538">
        <v>6.67</v>
      </c>
      <c r="AD2538">
        <v>5.77</v>
      </c>
      <c r="AE2538">
        <v>6.29</v>
      </c>
      <c r="AF2538">
        <v>5.66</v>
      </c>
      <c r="AG2538" t="str">
        <f>HYPERLINK("https://finance.naver.com/item/fchart.naver?code=204840", "지엘팜텍 차트보기")</f>
        <v>지엘팜텍 차트보기</v>
      </c>
    </row>
    <row r="2539" spans="1:33" x14ac:dyDescent="0.3">
      <c r="A2539" t="s">
        <v>10183</v>
      </c>
      <c r="B2539" t="s">
        <v>55</v>
      </c>
      <c r="C2539" t="s">
        <v>10184</v>
      </c>
      <c r="D2539">
        <v>129120.48</v>
      </c>
      <c r="E2539" t="s">
        <v>10185</v>
      </c>
      <c r="F2539">
        <v>8.7100000000000009</v>
      </c>
      <c r="G2539">
        <v>0.92000001668930054</v>
      </c>
      <c r="H2539">
        <v>781</v>
      </c>
      <c r="I2539">
        <v>1.2599999904632571</v>
      </c>
      <c r="J2539" t="s">
        <v>10186</v>
      </c>
      <c r="K2539">
        <v>9610</v>
      </c>
      <c r="L2539">
        <v>6800</v>
      </c>
      <c r="M2539">
        <v>-29.24</v>
      </c>
      <c r="N2539">
        <v>-8.85</v>
      </c>
      <c r="O2539">
        <v>-16.61</v>
      </c>
      <c r="P2539">
        <v>6.85</v>
      </c>
      <c r="Q2539">
        <v>13.1</v>
      </c>
      <c r="R2539">
        <v>-21.53</v>
      </c>
      <c r="S2539">
        <v>8.43</v>
      </c>
      <c r="T2539">
        <v>2.71</v>
      </c>
      <c r="U2539">
        <v>2.0699999999999998</v>
      </c>
      <c r="V2539">
        <v>3.2</v>
      </c>
      <c r="W2539">
        <v>4.8099999999999996</v>
      </c>
      <c r="X2539">
        <v>1.44</v>
      </c>
      <c r="Y2539">
        <v>2.73</v>
      </c>
      <c r="Z2539">
        <v>3.27</v>
      </c>
      <c r="AA2539">
        <v>8.02</v>
      </c>
      <c r="AB2539">
        <v>2.14</v>
      </c>
      <c r="AC2539">
        <v>2.72</v>
      </c>
      <c r="AD2539">
        <v>14.95</v>
      </c>
      <c r="AE2539">
        <v>3.09</v>
      </c>
      <c r="AF2539">
        <v>5.6983333333333333</v>
      </c>
      <c r="AG2539" t="str">
        <f>HYPERLINK("https://finance.naver.com/item/fchart.naver?code=243840", "신흥에스이씨 차트보기")</f>
        <v>신흥에스이씨 차트보기</v>
      </c>
    </row>
    <row r="2540" spans="1:33" x14ac:dyDescent="0.3">
      <c r="A2540" t="s">
        <v>10187</v>
      </c>
      <c r="B2540" t="s">
        <v>55</v>
      </c>
      <c r="C2540" t="s">
        <v>10188</v>
      </c>
      <c r="D2540">
        <v>11195.95</v>
      </c>
      <c r="E2540" t="s">
        <v>10189</v>
      </c>
      <c r="F2540">
        <v>0</v>
      </c>
      <c r="G2540">
        <v>0</v>
      </c>
      <c r="H2540">
        <v>0</v>
      </c>
      <c r="I2540">
        <v>0</v>
      </c>
      <c r="J2540" t="s">
        <v>10190</v>
      </c>
      <c r="K2540">
        <v>9800</v>
      </c>
      <c r="L2540">
        <v>10140</v>
      </c>
      <c r="M2540">
        <v>3.47</v>
      </c>
      <c r="N2540">
        <v>0.6</v>
      </c>
      <c r="O2540">
        <v>1.1000000000000001</v>
      </c>
      <c r="P2540">
        <v>-0.1</v>
      </c>
      <c r="Q2540">
        <v>-0.4</v>
      </c>
      <c r="R2540">
        <v>2.2400000000000002</v>
      </c>
      <c r="S2540">
        <v>0.1</v>
      </c>
      <c r="T2540">
        <v>0.11</v>
      </c>
      <c r="U2540">
        <v>0.08</v>
      </c>
      <c r="V2540">
        <v>0.12</v>
      </c>
      <c r="W2540">
        <v>0.27</v>
      </c>
      <c r="X2540">
        <v>0.18</v>
      </c>
      <c r="Y2540">
        <v>0.24</v>
      </c>
      <c r="Z2540">
        <v>5.45</v>
      </c>
      <c r="AA2540">
        <v>13.75</v>
      </c>
      <c r="AB2540">
        <v>0.83</v>
      </c>
      <c r="AC2540">
        <v>1.48</v>
      </c>
      <c r="AD2540">
        <v>12.44</v>
      </c>
      <c r="AE2540">
        <v>0.42</v>
      </c>
      <c r="AF2540">
        <v>5.7283333333333326</v>
      </c>
      <c r="AG2540" t="str">
        <f>HYPERLINK("https://finance.naver.com/item/fchart.naver?code=448740", "삼성스팩8호 차트보기")</f>
        <v>삼성스팩8호 차트보기</v>
      </c>
    </row>
    <row r="2541" spans="1:33" x14ac:dyDescent="0.3">
      <c r="A2541" t="s">
        <v>10191</v>
      </c>
      <c r="B2541" t="s">
        <v>34</v>
      </c>
      <c r="C2541" t="s">
        <v>10192</v>
      </c>
      <c r="D2541">
        <v>225677.67</v>
      </c>
      <c r="E2541" t="s">
        <v>10193</v>
      </c>
      <c r="F2541">
        <v>3.29</v>
      </c>
      <c r="G2541">
        <v>0.31000000238418579</v>
      </c>
      <c r="H2541">
        <v>1736</v>
      </c>
      <c r="I2541">
        <v>6.9899997711181641</v>
      </c>
      <c r="J2541" t="s">
        <v>10194</v>
      </c>
      <c r="K2541">
        <v>5190</v>
      </c>
      <c r="L2541">
        <v>5720</v>
      </c>
      <c r="M2541">
        <v>10.210000000000001</v>
      </c>
      <c r="N2541">
        <v>-6.23</v>
      </c>
      <c r="O2541">
        <v>16.16</v>
      </c>
      <c r="P2541">
        <v>-14.69</v>
      </c>
      <c r="Q2541">
        <v>-22.79</v>
      </c>
      <c r="R2541">
        <v>3.37</v>
      </c>
      <c r="S2541">
        <v>54.24</v>
      </c>
      <c r="T2541">
        <v>1.31</v>
      </c>
      <c r="U2541">
        <v>2.5</v>
      </c>
      <c r="V2541">
        <v>1.5</v>
      </c>
      <c r="W2541">
        <v>5.88</v>
      </c>
      <c r="X2541">
        <v>4.13</v>
      </c>
      <c r="Y2541">
        <v>5.96</v>
      </c>
      <c r="Z2541">
        <v>4.76</v>
      </c>
      <c r="AA2541">
        <v>6.46</v>
      </c>
      <c r="AB2541">
        <v>9.7899999999999991</v>
      </c>
      <c r="AC2541">
        <v>3.88</v>
      </c>
      <c r="AD2541">
        <v>0.82</v>
      </c>
      <c r="AE2541">
        <v>9.1</v>
      </c>
      <c r="AF2541">
        <v>5.8016666666666659</v>
      </c>
      <c r="AG2541" t="str">
        <f>HYPERLINK("https://finance.naver.com/item/fchart.naver?code=082640", "동양생명 차트보기")</f>
        <v>동양생명 차트보기</v>
      </c>
    </row>
    <row r="2542" spans="1:33" x14ac:dyDescent="0.3">
      <c r="A2542" t="s">
        <v>10195</v>
      </c>
      <c r="B2542" t="s">
        <v>34</v>
      </c>
      <c r="C2542" t="s">
        <v>10196</v>
      </c>
      <c r="D2542">
        <v>615966.71</v>
      </c>
      <c r="E2542" t="s">
        <v>10197</v>
      </c>
      <c r="F2542">
        <v>0</v>
      </c>
      <c r="G2542">
        <v>0.9100000262260437</v>
      </c>
      <c r="H2542">
        <v>0</v>
      </c>
      <c r="I2542">
        <v>0</v>
      </c>
      <c r="J2542" t="s">
        <v>10198</v>
      </c>
      <c r="K2542">
        <v>3525</v>
      </c>
      <c r="L2542">
        <v>1024</v>
      </c>
      <c r="M2542">
        <v>-70.95</v>
      </c>
      <c r="N2542">
        <v>-22.25</v>
      </c>
      <c r="O2542">
        <v>-23.22</v>
      </c>
      <c r="P2542">
        <v>-14.47</v>
      </c>
      <c r="Q2542">
        <v>-8.91</v>
      </c>
      <c r="R2542">
        <v>-29.03</v>
      </c>
      <c r="S2542">
        <v>-7.36</v>
      </c>
      <c r="T2542">
        <v>9.07</v>
      </c>
      <c r="U2542">
        <v>2.76</v>
      </c>
      <c r="V2542">
        <v>3.38</v>
      </c>
      <c r="W2542">
        <v>4.5</v>
      </c>
      <c r="X2542">
        <v>2.14</v>
      </c>
      <c r="Y2542">
        <v>1.75</v>
      </c>
      <c r="Z2542">
        <v>2.4500000000000002</v>
      </c>
      <c r="AA2542">
        <v>8.41</v>
      </c>
      <c r="AB2542">
        <v>4.28</v>
      </c>
      <c r="AC2542">
        <v>1.98</v>
      </c>
      <c r="AD2542">
        <v>13.57</v>
      </c>
      <c r="AE2542">
        <v>4.21</v>
      </c>
      <c r="AF2542">
        <v>5.8166666666666664</v>
      </c>
      <c r="AG2542" t="str">
        <f>HYPERLINK("https://finance.naver.com/item/fchart.naver?code=074610", "이엔플러스 차트보기")</f>
        <v>이엔플러스 차트보기</v>
      </c>
    </row>
    <row r="2543" spans="1:33" x14ac:dyDescent="0.3">
      <c r="A2543" t="s">
        <v>10199</v>
      </c>
      <c r="B2543" t="s">
        <v>55</v>
      </c>
      <c r="C2543" t="s">
        <v>10200</v>
      </c>
      <c r="D2543">
        <v>67907.67</v>
      </c>
      <c r="E2543" t="s">
        <v>10201</v>
      </c>
      <c r="F2543">
        <v>0</v>
      </c>
      <c r="G2543">
        <v>0.4699999988079071</v>
      </c>
      <c r="H2543">
        <v>0</v>
      </c>
      <c r="I2543">
        <v>0.80000001192092896</v>
      </c>
      <c r="J2543" t="s">
        <v>10202</v>
      </c>
      <c r="K2543">
        <v>2605</v>
      </c>
      <c r="L2543">
        <v>1257</v>
      </c>
      <c r="M2543">
        <v>-51.75</v>
      </c>
      <c r="N2543">
        <v>-12.83</v>
      </c>
      <c r="O2543">
        <v>-15.5</v>
      </c>
      <c r="P2543">
        <v>-7.65</v>
      </c>
      <c r="Q2543">
        <v>-18.37</v>
      </c>
      <c r="R2543">
        <v>-6.41</v>
      </c>
      <c r="S2543">
        <v>-0.2</v>
      </c>
      <c r="T2543">
        <v>3.39</v>
      </c>
      <c r="U2543">
        <v>1.07</v>
      </c>
      <c r="V2543">
        <v>1.65</v>
      </c>
      <c r="W2543">
        <v>3.61</v>
      </c>
      <c r="X2543">
        <v>0.95</v>
      </c>
      <c r="Y2543">
        <v>1.1399999999999999</v>
      </c>
      <c r="Z2543">
        <v>3.78</v>
      </c>
      <c r="AA2543">
        <v>14.49</v>
      </c>
      <c r="AB2543">
        <v>4.6399999999999997</v>
      </c>
      <c r="AC2543">
        <v>5.09</v>
      </c>
      <c r="AD2543">
        <v>6.75</v>
      </c>
      <c r="AE2543">
        <v>0.18</v>
      </c>
      <c r="AF2543">
        <v>5.8216666666666663</v>
      </c>
      <c r="AG2543" t="str">
        <f>HYPERLINK("https://finance.naver.com/item/fchart.naver?code=036710", "심텍홀딩스 차트보기")</f>
        <v>심텍홀딩스 차트보기</v>
      </c>
    </row>
    <row r="2544" spans="1:33" x14ac:dyDescent="0.3">
      <c r="A2544" t="s">
        <v>10203</v>
      </c>
      <c r="B2544" t="s">
        <v>55</v>
      </c>
      <c r="C2544" t="s">
        <v>10204</v>
      </c>
      <c r="D2544">
        <v>16946421.52</v>
      </c>
      <c r="E2544" t="s">
        <v>10205</v>
      </c>
      <c r="J2544" t="s">
        <v>10206</v>
      </c>
      <c r="K2544">
        <v>104</v>
      </c>
      <c r="L2544">
        <v>68</v>
      </c>
      <c r="M2544">
        <v>-34.619999999999997</v>
      </c>
      <c r="N2544">
        <v>-2.86</v>
      </c>
      <c r="O2544">
        <v>-22.22</v>
      </c>
      <c r="P2544">
        <v>35.82</v>
      </c>
      <c r="Q2544">
        <v>-16.87</v>
      </c>
      <c r="R2544">
        <v>-19.420000000000002</v>
      </c>
      <c r="S2544">
        <v>-38.32</v>
      </c>
      <c r="T2544">
        <v>6.92</v>
      </c>
      <c r="U2544">
        <v>2.72</v>
      </c>
      <c r="V2544">
        <v>9.3800000000000008</v>
      </c>
      <c r="W2544">
        <v>2.74</v>
      </c>
      <c r="X2544">
        <v>2.0699999999999998</v>
      </c>
      <c r="Y2544">
        <v>5.39</v>
      </c>
      <c r="Z2544">
        <v>0.41</v>
      </c>
      <c r="AA2544">
        <v>8.17</v>
      </c>
      <c r="AB2544">
        <v>3.82</v>
      </c>
      <c r="AC2544">
        <v>6.16</v>
      </c>
      <c r="AD2544">
        <v>9.3800000000000008</v>
      </c>
      <c r="AE2544">
        <v>7.11</v>
      </c>
      <c r="AF2544">
        <v>5.8416666666666677</v>
      </c>
      <c r="AG2544" t="str">
        <f>HYPERLINK("https://finance.naver.com/item/fchart.naver?code=900300", "오가닉티코스메틱 차트보기")</f>
        <v>오가닉티코스메틱 차트보기</v>
      </c>
    </row>
    <row r="2545" spans="1:33" x14ac:dyDescent="0.3">
      <c r="A2545" t="s">
        <v>10207</v>
      </c>
      <c r="B2545" t="s">
        <v>34</v>
      </c>
      <c r="C2545" t="s">
        <v>10208</v>
      </c>
      <c r="D2545">
        <v>27827.14</v>
      </c>
      <c r="E2545" t="s">
        <v>10209</v>
      </c>
      <c r="F2545">
        <v>5.17</v>
      </c>
      <c r="G2545">
        <v>0.17000000178813929</v>
      </c>
      <c r="H2545">
        <v>381</v>
      </c>
      <c r="I2545">
        <v>3.0499999523162842</v>
      </c>
      <c r="J2545" t="s">
        <v>10210</v>
      </c>
      <c r="K2545">
        <v>2700</v>
      </c>
      <c r="L2545">
        <v>1970</v>
      </c>
      <c r="M2545">
        <v>-27.04</v>
      </c>
      <c r="N2545">
        <v>-1.3</v>
      </c>
      <c r="O2545">
        <v>-6.31</v>
      </c>
      <c r="P2545">
        <v>-5.7</v>
      </c>
      <c r="Q2545">
        <v>-7.68</v>
      </c>
      <c r="R2545">
        <v>-3.89</v>
      </c>
      <c r="S2545">
        <v>-3.03</v>
      </c>
      <c r="T2545">
        <v>1.1000000000000001</v>
      </c>
      <c r="U2545">
        <v>0.61</v>
      </c>
      <c r="V2545">
        <v>0.61</v>
      </c>
      <c r="W2545">
        <v>1.59</v>
      </c>
      <c r="X2545">
        <v>0.79</v>
      </c>
      <c r="Y2545">
        <v>0.68</v>
      </c>
      <c r="Z2545">
        <v>1.18</v>
      </c>
      <c r="AA2545">
        <v>10.34</v>
      </c>
      <c r="AB2545">
        <v>9.34</v>
      </c>
      <c r="AC2545">
        <v>4.83</v>
      </c>
      <c r="AD2545">
        <v>4.92</v>
      </c>
      <c r="AE2545">
        <v>4.46</v>
      </c>
      <c r="AF2545">
        <v>5.8449999999999998</v>
      </c>
      <c r="AG2545" t="str">
        <f>HYPERLINK("https://finance.naver.com/item/fchart.naver?code=002920", "유성기업 차트보기")</f>
        <v>유성기업 차트보기</v>
      </c>
    </row>
    <row r="2546" spans="1:33" x14ac:dyDescent="0.3">
      <c r="A2546" t="s">
        <v>10211</v>
      </c>
      <c r="B2546" t="s">
        <v>55</v>
      </c>
      <c r="C2546" t="s">
        <v>10212</v>
      </c>
      <c r="D2546">
        <v>8113.67</v>
      </c>
      <c r="E2546" t="s">
        <v>10213</v>
      </c>
      <c r="F2546">
        <v>3.01</v>
      </c>
      <c r="G2546">
        <v>0.27000001072883612</v>
      </c>
      <c r="H2546">
        <v>7073</v>
      </c>
      <c r="I2546">
        <v>3.2699999809265141</v>
      </c>
      <c r="J2546" t="s">
        <v>10214</v>
      </c>
      <c r="K2546">
        <v>30200</v>
      </c>
      <c r="L2546">
        <v>21300</v>
      </c>
      <c r="M2546">
        <v>-29.47</v>
      </c>
      <c r="N2546">
        <v>5.71</v>
      </c>
      <c r="O2546">
        <v>-9.5299999999999994</v>
      </c>
      <c r="P2546">
        <v>-8.82</v>
      </c>
      <c r="Q2546">
        <v>-12.3</v>
      </c>
      <c r="R2546">
        <v>-2.09</v>
      </c>
      <c r="S2546">
        <v>-1.37</v>
      </c>
      <c r="T2546">
        <v>2.12</v>
      </c>
      <c r="U2546">
        <v>0.79</v>
      </c>
      <c r="V2546">
        <v>1.1399999999999999</v>
      </c>
      <c r="W2546">
        <v>2.83</v>
      </c>
      <c r="X2546">
        <v>0.28000000000000003</v>
      </c>
      <c r="Y2546">
        <v>1.26</v>
      </c>
      <c r="Z2546">
        <v>2.69</v>
      </c>
      <c r="AA2546">
        <v>12.06</v>
      </c>
      <c r="AB2546">
        <v>7.74</v>
      </c>
      <c r="AC2546">
        <v>4.3499999999999996</v>
      </c>
      <c r="AD2546">
        <v>7.46</v>
      </c>
      <c r="AE2546">
        <v>1.0900000000000001</v>
      </c>
      <c r="AF2546">
        <v>5.8983333333333343</v>
      </c>
      <c r="AG2546" t="str">
        <f>HYPERLINK("https://finance.naver.com/item/fchart.naver?code=192440", "슈피겐코리아 차트보기")</f>
        <v>슈피겐코리아 차트보기</v>
      </c>
    </row>
    <row r="2547" spans="1:33" x14ac:dyDescent="0.3">
      <c r="A2547" t="s">
        <v>10215</v>
      </c>
      <c r="B2547" t="s">
        <v>55</v>
      </c>
      <c r="C2547" t="s">
        <v>10216</v>
      </c>
      <c r="D2547">
        <v>272961.81</v>
      </c>
      <c r="E2547" t="s">
        <v>10217</v>
      </c>
      <c r="J2547" t="s">
        <v>10218</v>
      </c>
      <c r="K2547">
        <v>1559</v>
      </c>
      <c r="L2547">
        <v>1192</v>
      </c>
      <c r="M2547">
        <v>-23.54</v>
      </c>
      <c r="N2547">
        <v>-12.03</v>
      </c>
      <c r="O2547">
        <v>6.93</v>
      </c>
      <c r="P2547">
        <v>-33.68</v>
      </c>
      <c r="Q2547">
        <v>-0.73</v>
      </c>
      <c r="R2547">
        <v>152.38</v>
      </c>
      <c r="S2547">
        <v>-34.17</v>
      </c>
      <c r="T2547">
        <v>5.17</v>
      </c>
      <c r="U2547">
        <v>5.13</v>
      </c>
      <c r="V2547">
        <v>5.25</v>
      </c>
      <c r="W2547">
        <v>5.8</v>
      </c>
      <c r="X2547">
        <v>10.6</v>
      </c>
      <c r="Y2547">
        <v>3.07</v>
      </c>
      <c r="Z2547">
        <v>2.33</v>
      </c>
      <c r="AA2547">
        <v>1.35</v>
      </c>
      <c r="AB2547">
        <v>6.42</v>
      </c>
      <c r="AC2547">
        <v>0.13</v>
      </c>
      <c r="AD2547">
        <v>14.38</v>
      </c>
      <c r="AE2547">
        <v>11.13</v>
      </c>
      <c r="AF2547">
        <v>5.956666666666667</v>
      </c>
      <c r="AG2547" t="str">
        <f>HYPERLINK("https://finance.naver.com/item/fchart.naver?code=900100", "애머릿지 차트보기")</f>
        <v>애머릿지 차트보기</v>
      </c>
    </row>
    <row r="2548" spans="1:33" x14ac:dyDescent="0.3">
      <c r="A2548" t="s">
        <v>10219</v>
      </c>
      <c r="B2548" t="s">
        <v>55</v>
      </c>
      <c r="C2548" t="s">
        <v>10220</v>
      </c>
      <c r="D2548">
        <v>317490.81</v>
      </c>
      <c r="E2548" t="s">
        <v>10221</v>
      </c>
      <c r="F2548">
        <v>23.94</v>
      </c>
      <c r="G2548">
        <v>3.690000057220459</v>
      </c>
      <c r="H2548">
        <v>923</v>
      </c>
      <c r="I2548">
        <v>0</v>
      </c>
      <c r="J2548" t="s">
        <v>10222</v>
      </c>
      <c r="K2548">
        <v>23050</v>
      </c>
      <c r="L2548">
        <v>22100</v>
      </c>
      <c r="M2548">
        <v>-4.12</v>
      </c>
      <c r="N2548">
        <v>48.32</v>
      </c>
      <c r="O2548">
        <v>-34.43</v>
      </c>
      <c r="P2548">
        <v>45.4</v>
      </c>
      <c r="Q2548">
        <v>-7.9</v>
      </c>
      <c r="R2548">
        <v>-20.05</v>
      </c>
      <c r="S2548">
        <v>-8.4600000000000009</v>
      </c>
      <c r="T2548">
        <v>6.24</v>
      </c>
      <c r="U2548">
        <v>4.22</v>
      </c>
      <c r="V2548">
        <v>6.34</v>
      </c>
      <c r="W2548">
        <v>5.27</v>
      </c>
      <c r="X2548">
        <v>2.79</v>
      </c>
      <c r="Y2548">
        <v>2.12</v>
      </c>
      <c r="Z2548">
        <v>7.74</v>
      </c>
      <c r="AA2548">
        <v>8.16</v>
      </c>
      <c r="AB2548">
        <v>7.16</v>
      </c>
      <c r="AC2548">
        <v>1.5</v>
      </c>
      <c r="AD2548">
        <v>7.19</v>
      </c>
      <c r="AE2548">
        <v>3.99</v>
      </c>
      <c r="AF2548">
        <v>5.956666666666667</v>
      </c>
      <c r="AG2548" t="str">
        <f>HYPERLINK("https://finance.naver.com/item/fchart.naver?code=370090", "퓨런티어 차트보기")</f>
        <v>퓨런티어 차트보기</v>
      </c>
    </row>
    <row r="2549" spans="1:33" x14ac:dyDescent="0.3">
      <c r="A2549" t="s">
        <v>10223</v>
      </c>
      <c r="B2549" t="s">
        <v>55</v>
      </c>
      <c r="C2549" t="s">
        <v>10224</v>
      </c>
      <c r="D2549">
        <v>396917.9</v>
      </c>
      <c r="E2549" t="s">
        <v>10225</v>
      </c>
      <c r="F2549">
        <v>0</v>
      </c>
      <c r="G2549">
        <v>6.059999942779541</v>
      </c>
      <c r="H2549">
        <v>0</v>
      </c>
      <c r="I2549">
        <v>0</v>
      </c>
      <c r="J2549" t="s">
        <v>10226</v>
      </c>
      <c r="K2549">
        <v>4205</v>
      </c>
      <c r="L2549">
        <v>6640</v>
      </c>
      <c r="M2549">
        <v>57.91</v>
      </c>
      <c r="N2549">
        <v>-5.01</v>
      </c>
      <c r="O2549">
        <v>-25.2</v>
      </c>
      <c r="P2549">
        <v>-8.2799999999999994</v>
      </c>
      <c r="Q2549">
        <v>-22.8</v>
      </c>
      <c r="R2549">
        <v>180.7</v>
      </c>
      <c r="S2549">
        <v>-9.99</v>
      </c>
      <c r="T2549">
        <v>3.2</v>
      </c>
      <c r="U2549">
        <v>2.94</v>
      </c>
      <c r="V2549">
        <v>9.3000000000000007</v>
      </c>
      <c r="W2549">
        <v>11.76</v>
      </c>
      <c r="X2549">
        <v>10.55</v>
      </c>
      <c r="Y2549">
        <v>1.62</v>
      </c>
      <c r="Z2549">
        <v>1.57</v>
      </c>
      <c r="AA2549">
        <v>8.57</v>
      </c>
      <c r="AB2549">
        <v>0.89</v>
      </c>
      <c r="AC2549">
        <v>1.94</v>
      </c>
      <c r="AD2549">
        <v>17.13</v>
      </c>
      <c r="AE2549">
        <v>6.17</v>
      </c>
      <c r="AF2549">
        <v>6.0450000000000008</v>
      </c>
      <c r="AG2549" t="str">
        <f>HYPERLINK("https://finance.naver.com/item/fchart.naver?code=317690", "퀀타매트릭스 차트보기")</f>
        <v>퀀타매트릭스 차트보기</v>
      </c>
    </row>
    <row r="2550" spans="1:33" x14ac:dyDescent="0.3">
      <c r="A2550" t="s">
        <v>10227</v>
      </c>
      <c r="B2550" t="s">
        <v>55</v>
      </c>
      <c r="C2550" t="s">
        <v>10228</v>
      </c>
      <c r="D2550">
        <v>109169.14</v>
      </c>
      <c r="E2550" t="s">
        <v>10229</v>
      </c>
      <c r="F2550">
        <v>13.51</v>
      </c>
      <c r="G2550">
        <v>1.0900000333786011</v>
      </c>
      <c r="H2550">
        <v>1673</v>
      </c>
      <c r="I2550">
        <v>1.110000014305115</v>
      </c>
      <c r="J2550" t="s">
        <v>10230</v>
      </c>
      <c r="K2550">
        <v>30000</v>
      </c>
      <c r="L2550">
        <v>22600</v>
      </c>
      <c r="M2550">
        <v>-24.67</v>
      </c>
      <c r="N2550">
        <v>-8.32</v>
      </c>
      <c r="O2550">
        <v>-8.8699999999999992</v>
      </c>
      <c r="P2550">
        <v>-4.72</v>
      </c>
      <c r="Q2550">
        <v>-4.92</v>
      </c>
      <c r="R2550">
        <v>-23.92</v>
      </c>
      <c r="S2550">
        <v>25.42</v>
      </c>
      <c r="T2550">
        <v>2.14</v>
      </c>
      <c r="U2550">
        <v>2.19</v>
      </c>
      <c r="V2550">
        <v>2.38</v>
      </c>
      <c r="W2550">
        <v>4.1100000000000003</v>
      </c>
      <c r="X2550">
        <v>1.96</v>
      </c>
      <c r="Y2550">
        <v>1.96</v>
      </c>
      <c r="Z2550">
        <v>3.89</v>
      </c>
      <c r="AA2550">
        <v>4.05</v>
      </c>
      <c r="AB2550">
        <v>1.98</v>
      </c>
      <c r="AC2550">
        <v>1.2</v>
      </c>
      <c r="AD2550">
        <v>12.2</v>
      </c>
      <c r="AE2550">
        <v>12.97</v>
      </c>
      <c r="AF2550">
        <v>6.0483333333333329</v>
      </c>
      <c r="AG2550" t="str">
        <f>HYPERLINK("https://finance.naver.com/item/fchart.naver?code=272290", "이녹스첨단소재 차트보기")</f>
        <v>이녹스첨단소재 차트보기</v>
      </c>
    </row>
    <row r="2551" spans="1:33" x14ac:dyDescent="0.3">
      <c r="A2551" t="s">
        <v>10231</v>
      </c>
      <c r="B2551" t="s">
        <v>34</v>
      </c>
      <c r="C2551" t="s">
        <v>10232</v>
      </c>
      <c r="D2551">
        <v>54326.43</v>
      </c>
      <c r="E2551" t="s">
        <v>10233</v>
      </c>
      <c r="F2551">
        <v>0</v>
      </c>
      <c r="G2551">
        <v>3.3599998950958252</v>
      </c>
      <c r="H2551">
        <v>0</v>
      </c>
      <c r="I2551">
        <v>0</v>
      </c>
      <c r="J2551" t="s">
        <v>10234</v>
      </c>
      <c r="K2551">
        <v>12830</v>
      </c>
      <c r="L2551">
        <v>8680</v>
      </c>
      <c r="M2551">
        <v>-32.35</v>
      </c>
      <c r="N2551">
        <v>-4.62</v>
      </c>
      <c r="O2551">
        <v>-10.17</v>
      </c>
      <c r="P2551">
        <v>1.46</v>
      </c>
      <c r="Q2551">
        <v>9.44</v>
      </c>
      <c r="R2551">
        <v>-18.54</v>
      </c>
      <c r="S2551">
        <v>-12.23</v>
      </c>
      <c r="T2551">
        <v>1.51</v>
      </c>
      <c r="U2551">
        <v>3</v>
      </c>
      <c r="V2551">
        <v>4.3499999999999996</v>
      </c>
      <c r="W2551">
        <v>3.16</v>
      </c>
      <c r="X2551">
        <v>1.35</v>
      </c>
      <c r="Y2551">
        <v>0.95</v>
      </c>
      <c r="Z2551">
        <v>3.06</v>
      </c>
      <c r="AA2551">
        <v>3.39</v>
      </c>
      <c r="AB2551">
        <v>0.34</v>
      </c>
      <c r="AC2551">
        <v>2.99</v>
      </c>
      <c r="AD2551">
        <v>13.73</v>
      </c>
      <c r="AE2551">
        <v>12.87</v>
      </c>
      <c r="AF2551">
        <v>6.0633333333333326</v>
      </c>
      <c r="AG2551" t="str">
        <f>HYPERLINK("https://finance.naver.com/item/fchart.naver?code=036420", "콘텐트리중앙 차트보기")</f>
        <v>콘텐트리중앙 차트보기</v>
      </c>
    </row>
    <row r="2552" spans="1:33" x14ac:dyDescent="0.3">
      <c r="A2552" t="s">
        <v>10235</v>
      </c>
      <c r="B2552" t="s">
        <v>55</v>
      </c>
      <c r="C2552" t="s">
        <v>10236</v>
      </c>
      <c r="D2552">
        <v>199424.95</v>
      </c>
      <c r="E2552" t="s">
        <v>10237</v>
      </c>
      <c r="F2552">
        <v>0</v>
      </c>
      <c r="G2552">
        <v>0.31999999284744263</v>
      </c>
      <c r="H2552">
        <v>0</v>
      </c>
      <c r="I2552">
        <v>0</v>
      </c>
      <c r="J2552" t="s">
        <v>10238</v>
      </c>
      <c r="K2552">
        <v>7990</v>
      </c>
      <c r="L2552">
        <v>3560</v>
      </c>
      <c r="M2552">
        <v>-55.44</v>
      </c>
      <c r="N2552">
        <v>-8.3699999999999992</v>
      </c>
      <c r="O2552">
        <v>10.8</v>
      </c>
      <c r="P2552">
        <v>-19.690000000000001</v>
      </c>
      <c r="Q2552">
        <v>-21.86</v>
      </c>
      <c r="R2552">
        <v>-10.31</v>
      </c>
      <c r="S2552">
        <v>-14.06</v>
      </c>
      <c r="T2552">
        <v>2.09</v>
      </c>
      <c r="U2552">
        <v>4.1500000000000004</v>
      </c>
      <c r="V2552">
        <v>2.36</v>
      </c>
      <c r="W2552">
        <v>4.01</v>
      </c>
      <c r="X2552">
        <v>2.44</v>
      </c>
      <c r="Y2552">
        <v>1.18</v>
      </c>
      <c r="Z2552">
        <v>4</v>
      </c>
      <c r="AA2552">
        <v>2.6</v>
      </c>
      <c r="AB2552">
        <v>8.34</v>
      </c>
      <c r="AC2552">
        <v>5.45</v>
      </c>
      <c r="AD2552">
        <v>4.2300000000000004</v>
      </c>
      <c r="AE2552">
        <v>11.92</v>
      </c>
      <c r="AF2552">
        <v>6.09</v>
      </c>
      <c r="AG2552" t="str">
        <f>HYPERLINK("https://finance.naver.com/item/fchart.naver?code=052710", "아모텍 차트보기")</f>
        <v>아모텍 차트보기</v>
      </c>
    </row>
    <row r="2553" spans="1:33" x14ac:dyDescent="0.3">
      <c r="A2553" t="s">
        <v>10239</v>
      </c>
      <c r="B2553" t="s">
        <v>55</v>
      </c>
      <c r="C2553" t="s">
        <v>10240</v>
      </c>
      <c r="D2553">
        <v>963177.14</v>
      </c>
      <c r="E2553" t="s">
        <v>10241</v>
      </c>
      <c r="F2553">
        <v>8.8000000000000007</v>
      </c>
      <c r="G2553">
        <v>0.75999999046325684</v>
      </c>
      <c r="H2553">
        <v>1855</v>
      </c>
      <c r="I2553">
        <v>3.6700000762939449</v>
      </c>
      <c r="J2553" t="s">
        <v>10242</v>
      </c>
      <c r="K2553">
        <v>12480</v>
      </c>
      <c r="L2553">
        <v>16330</v>
      </c>
      <c r="M2553">
        <v>30.85</v>
      </c>
      <c r="N2553">
        <v>-11.25</v>
      </c>
      <c r="O2553">
        <v>-24.17</v>
      </c>
      <c r="P2553">
        <v>171.17</v>
      </c>
      <c r="Q2553">
        <v>-12.2</v>
      </c>
      <c r="R2553">
        <v>-10.57</v>
      </c>
      <c r="S2553">
        <v>-2.35</v>
      </c>
      <c r="T2553">
        <v>1.7</v>
      </c>
      <c r="U2553">
        <v>13.24</v>
      </c>
      <c r="V2553">
        <v>11.25</v>
      </c>
      <c r="W2553">
        <v>3.21</v>
      </c>
      <c r="X2553">
        <v>1.6</v>
      </c>
      <c r="Y2553">
        <v>0.95</v>
      </c>
      <c r="Z2553">
        <v>6.62</v>
      </c>
      <c r="AA2553">
        <v>1.83</v>
      </c>
      <c r="AB2553">
        <v>15.22</v>
      </c>
      <c r="AC2553">
        <v>3.8</v>
      </c>
      <c r="AD2553">
        <v>6.61</v>
      </c>
      <c r="AE2553">
        <v>2.4700000000000002</v>
      </c>
      <c r="AF2553">
        <v>6.0916666666666677</v>
      </c>
      <c r="AG2553" t="str">
        <f>HYPERLINK("https://finance.naver.com/item/fchart.naver?code=036560", "영풍정밀 차트보기")</f>
        <v>영풍정밀 차트보기</v>
      </c>
    </row>
    <row r="2554" spans="1:33" x14ac:dyDescent="0.3">
      <c r="A2554" t="s">
        <v>10243</v>
      </c>
      <c r="B2554" t="s">
        <v>55</v>
      </c>
      <c r="C2554" t="s">
        <v>10244</v>
      </c>
      <c r="D2554">
        <v>560327.24</v>
      </c>
      <c r="E2554" t="s">
        <v>10245</v>
      </c>
      <c r="F2554">
        <v>10.52</v>
      </c>
      <c r="G2554">
        <v>0.89999997615814209</v>
      </c>
      <c r="H2554">
        <v>542</v>
      </c>
      <c r="I2554">
        <v>0</v>
      </c>
      <c r="J2554" t="s">
        <v>10246</v>
      </c>
      <c r="K2554">
        <v>7270</v>
      </c>
      <c r="L2554">
        <v>5700</v>
      </c>
      <c r="M2554">
        <v>-21.6</v>
      </c>
      <c r="N2554">
        <v>22.06</v>
      </c>
      <c r="O2554">
        <v>-6.94</v>
      </c>
      <c r="P2554">
        <v>-1.54</v>
      </c>
      <c r="Q2554">
        <v>-9.01</v>
      </c>
      <c r="R2554">
        <v>-11.86</v>
      </c>
      <c r="S2554">
        <v>-8.25</v>
      </c>
      <c r="T2554">
        <v>12.1</v>
      </c>
      <c r="U2554">
        <v>0.86</v>
      </c>
      <c r="V2554">
        <v>1.1499999999999999</v>
      </c>
      <c r="W2554">
        <v>2.65</v>
      </c>
      <c r="X2554">
        <v>1.43</v>
      </c>
      <c r="Y2554">
        <v>0.6</v>
      </c>
      <c r="Z2554">
        <v>1.82</v>
      </c>
      <c r="AA2554">
        <v>8.07</v>
      </c>
      <c r="AB2554">
        <v>1.34</v>
      </c>
      <c r="AC2554">
        <v>3.4</v>
      </c>
      <c r="AD2554">
        <v>8.2899999999999991</v>
      </c>
      <c r="AE2554">
        <v>13.75</v>
      </c>
      <c r="AF2554">
        <v>6.1116666666666672</v>
      </c>
      <c r="AG2554" t="str">
        <f>HYPERLINK("https://finance.naver.com/item/fchart.naver?code=094850", "참좋은여행 차트보기")</f>
        <v>참좋은여행 차트보기</v>
      </c>
    </row>
    <row r="2555" spans="1:33" x14ac:dyDescent="0.3">
      <c r="A2555" t="s">
        <v>10247</v>
      </c>
      <c r="B2555" t="s">
        <v>34</v>
      </c>
      <c r="C2555" t="s">
        <v>10248</v>
      </c>
      <c r="D2555">
        <v>2834</v>
      </c>
      <c r="E2555" t="s">
        <v>10249</v>
      </c>
      <c r="F2555">
        <v>0</v>
      </c>
      <c r="G2555">
        <v>0.88999998569488525</v>
      </c>
      <c r="H2555">
        <v>0</v>
      </c>
      <c r="I2555">
        <v>0.15000000596046451</v>
      </c>
      <c r="J2555" t="s">
        <v>10250</v>
      </c>
      <c r="K2555">
        <v>509000</v>
      </c>
      <c r="L2555">
        <v>687000</v>
      </c>
      <c r="M2555">
        <v>34.97</v>
      </c>
      <c r="N2555">
        <v>0.44</v>
      </c>
      <c r="O2555">
        <v>23.17</v>
      </c>
      <c r="P2555">
        <v>18.87</v>
      </c>
      <c r="Q2555">
        <v>-7.73</v>
      </c>
      <c r="R2555">
        <v>-9.0299999999999994</v>
      </c>
      <c r="S2555">
        <v>16.82</v>
      </c>
      <c r="T2555">
        <v>1.45</v>
      </c>
      <c r="U2555">
        <v>1.98</v>
      </c>
      <c r="V2555">
        <v>3.16</v>
      </c>
      <c r="W2555">
        <v>2.2000000000000002</v>
      </c>
      <c r="X2555">
        <v>1.53</v>
      </c>
      <c r="Y2555">
        <v>1.62</v>
      </c>
      <c r="Z2555">
        <v>0.3</v>
      </c>
      <c r="AA2555">
        <v>11.7</v>
      </c>
      <c r="AB2555">
        <v>5.97</v>
      </c>
      <c r="AC2555">
        <v>3.51</v>
      </c>
      <c r="AD2555">
        <v>5.9</v>
      </c>
      <c r="AE2555">
        <v>10.38</v>
      </c>
      <c r="AF2555">
        <v>6.293333333333333</v>
      </c>
      <c r="AG2555" t="str">
        <f>HYPERLINK("https://finance.naver.com/item/fchart.naver?code=003920", "남양유업 차트보기")</f>
        <v>남양유업 차트보기</v>
      </c>
    </row>
    <row r="2556" spans="1:33" x14ac:dyDescent="0.3">
      <c r="A2556" t="s">
        <v>10251</v>
      </c>
      <c r="B2556" t="s">
        <v>55</v>
      </c>
      <c r="C2556" t="s">
        <v>10252</v>
      </c>
      <c r="D2556">
        <v>44134.95</v>
      </c>
      <c r="E2556" t="s">
        <v>10253</v>
      </c>
      <c r="F2556">
        <v>0</v>
      </c>
      <c r="G2556">
        <v>1.470000028610229</v>
      </c>
      <c r="H2556">
        <v>0</v>
      </c>
      <c r="I2556">
        <v>0</v>
      </c>
      <c r="J2556" t="s">
        <v>10254</v>
      </c>
      <c r="K2556">
        <v>2530</v>
      </c>
      <c r="L2556">
        <v>1446</v>
      </c>
      <c r="M2556">
        <v>-42.85</v>
      </c>
      <c r="N2556">
        <v>-5.43</v>
      </c>
      <c r="O2556">
        <v>-7.79</v>
      </c>
      <c r="P2556">
        <v>-13.22</v>
      </c>
      <c r="Q2556">
        <v>-8.57</v>
      </c>
      <c r="R2556">
        <v>-3.86</v>
      </c>
      <c r="S2556">
        <v>-13.26</v>
      </c>
      <c r="T2556">
        <v>1</v>
      </c>
      <c r="U2556">
        <v>1.27</v>
      </c>
      <c r="V2556">
        <v>1.06</v>
      </c>
      <c r="W2556">
        <v>1.98</v>
      </c>
      <c r="X2556">
        <v>1.87</v>
      </c>
      <c r="Y2556">
        <v>1.74</v>
      </c>
      <c r="Z2556">
        <v>5.43</v>
      </c>
      <c r="AA2556">
        <v>6.13</v>
      </c>
      <c r="AB2556">
        <v>12.47</v>
      </c>
      <c r="AC2556">
        <v>4.33</v>
      </c>
      <c r="AD2556">
        <v>2.06</v>
      </c>
      <c r="AE2556">
        <v>7.62</v>
      </c>
      <c r="AF2556">
        <v>6.34</v>
      </c>
      <c r="AG2556" t="str">
        <f>HYPERLINK("https://finance.naver.com/item/fchart.naver?code=168330", "내츄럴엔도텍 차트보기")</f>
        <v>내츄럴엔도텍 차트보기</v>
      </c>
    </row>
    <row r="2557" spans="1:33" x14ac:dyDescent="0.3">
      <c r="A2557" t="s">
        <v>10255</v>
      </c>
      <c r="B2557" t="s">
        <v>34</v>
      </c>
      <c r="C2557" t="s">
        <v>10256</v>
      </c>
      <c r="D2557">
        <v>41028.67</v>
      </c>
      <c r="E2557" t="s">
        <v>10257</v>
      </c>
      <c r="F2557">
        <v>0</v>
      </c>
      <c r="G2557">
        <v>0.15999999642372131</v>
      </c>
      <c r="H2557">
        <v>0</v>
      </c>
      <c r="I2557">
        <v>0</v>
      </c>
      <c r="J2557" t="s">
        <v>10258</v>
      </c>
      <c r="K2557">
        <v>1940</v>
      </c>
      <c r="L2557">
        <v>1425</v>
      </c>
      <c r="M2557">
        <v>-26.55</v>
      </c>
      <c r="N2557">
        <v>1.86</v>
      </c>
      <c r="O2557">
        <v>-13.75</v>
      </c>
      <c r="P2557">
        <v>-4.29</v>
      </c>
      <c r="Q2557">
        <v>1.44</v>
      </c>
      <c r="R2557">
        <v>-5.84</v>
      </c>
      <c r="S2557">
        <v>-6.72</v>
      </c>
      <c r="T2557">
        <v>2.38</v>
      </c>
      <c r="U2557">
        <v>1.22</v>
      </c>
      <c r="V2557">
        <v>1.28</v>
      </c>
      <c r="W2557">
        <v>3.55</v>
      </c>
      <c r="X2557">
        <v>0.42</v>
      </c>
      <c r="Y2557">
        <v>0.8</v>
      </c>
      <c r="Z2557">
        <v>0.78</v>
      </c>
      <c r="AA2557">
        <v>11.27</v>
      </c>
      <c r="AB2557">
        <v>3.35</v>
      </c>
      <c r="AC2557">
        <v>0.41</v>
      </c>
      <c r="AD2557">
        <v>13.9</v>
      </c>
      <c r="AE2557">
        <v>8.4</v>
      </c>
      <c r="AF2557">
        <v>6.3516666666666666</v>
      </c>
      <c r="AG2557" t="str">
        <f>HYPERLINK("https://finance.naver.com/item/fchart.naver?code=000180", "성창기업지주 차트보기")</f>
        <v>성창기업지주 차트보기</v>
      </c>
    </row>
    <row r="2558" spans="1:33" x14ac:dyDescent="0.3">
      <c r="A2558" t="s">
        <v>10259</v>
      </c>
      <c r="B2558" t="s">
        <v>34</v>
      </c>
      <c r="C2558" t="s">
        <v>10260</v>
      </c>
      <c r="D2558">
        <v>5830.71</v>
      </c>
      <c r="E2558" t="s">
        <v>10261</v>
      </c>
      <c r="F2558">
        <v>0</v>
      </c>
      <c r="G2558">
        <v>0.14000000059604639</v>
      </c>
      <c r="H2558">
        <v>0</v>
      </c>
      <c r="I2558">
        <v>1.450000047683716</v>
      </c>
      <c r="J2558" t="s">
        <v>10262</v>
      </c>
      <c r="K2558">
        <v>8350</v>
      </c>
      <c r="L2558">
        <v>6920</v>
      </c>
      <c r="M2558">
        <v>-17.13</v>
      </c>
      <c r="N2558">
        <v>1.91</v>
      </c>
      <c r="O2558">
        <v>-10.29</v>
      </c>
      <c r="P2558">
        <v>-8.57</v>
      </c>
      <c r="Q2558">
        <v>4.33</v>
      </c>
      <c r="R2558">
        <v>-9.7899999999999991</v>
      </c>
      <c r="S2558">
        <v>8.1</v>
      </c>
      <c r="T2558">
        <v>2.11</v>
      </c>
      <c r="U2558">
        <v>0.66</v>
      </c>
      <c r="V2558">
        <v>1.31</v>
      </c>
      <c r="W2558">
        <v>2.16</v>
      </c>
      <c r="X2558">
        <v>1.66</v>
      </c>
      <c r="Y2558">
        <v>0.97</v>
      </c>
      <c r="Z2558">
        <v>0.91</v>
      </c>
      <c r="AA2558">
        <v>15.59</v>
      </c>
      <c r="AB2558">
        <v>6.54</v>
      </c>
      <c r="AC2558">
        <v>2</v>
      </c>
      <c r="AD2558">
        <v>5.9</v>
      </c>
      <c r="AE2558">
        <v>8.35</v>
      </c>
      <c r="AF2558">
        <v>6.5483333333333329</v>
      </c>
      <c r="AG2558" t="str">
        <f>HYPERLINK("https://finance.naver.com/item/fchart.naver?code=021820", "세원정공 차트보기")</f>
        <v>세원정공 차트보기</v>
      </c>
    </row>
    <row r="2559" spans="1:33" x14ac:dyDescent="0.3">
      <c r="A2559" t="s">
        <v>10263</v>
      </c>
      <c r="B2559" t="s">
        <v>34</v>
      </c>
      <c r="C2559" t="s">
        <v>10264</v>
      </c>
      <c r="D2559">
        <v>120267.14</v>
      </c>
      <c r="E2559" t="s">
        <v>10265</v>
      </c>
      <c r="J2559" t="s">
        <v>10266</v>
      </c>
      <c r="K2559">
        <v>4785</v>
      </c>
      <c r="L2559">
        <v>4265</v>
      </c>
      <c r="M2559">
        <v>-10.87</v>
      </c>
      <c r="N2559">
        <v>-3.51</v>
      </c>
      <c r="O2559">
        <v>-13.99</v>
      </c>
      <c r="P2559">
        <v>-4.29</v>
      </c>
      <c r="Q2559">
        <v>1.1299999999999999</v>
      </c>
      <c r="R2559">
        <v>12.82</v>
      </c>
      <c r="S2559">
        <v>-2.06</v>
      </c>
      <c r="T2559">
        <v>0.78</v>
      </c>
      <c r="U2559">
        <v>2.21</v>
      </c>
      <c r="V2559">
        <v>0.63</v>
      </c>
      <c r="W2559">
        <v>1.4</v>
      </c>
      <c r="X2559">
        <v>0.73</v>
      </c>
      <c r="Y2559">
        <v>0.56000000000000005</v>
      </c>
      <c r="Z2559">
        <v>4.5</v>
      </c>
      <c r="AA2559">
        <v>6.33</v>
      </c>
      <c r="AB2559">
        <v>6.81</v>
      </c>
      <c r="AC2559">
        <v>0.81</v>
      </c>
      <c r="AD2559">
        <v>17.559999999999999</v>
      </c>
      <c r="AE2559">
        <v>3.68</v>
      </c>
      <c r="AF2559">
        <v>6.6149999999999993</v>
      </c>
      <c r="AG2559" t="str">
        <f>HYPERLINK("https://finance.naver.com/item/fchart.naver?code=088260", "이리츠코크렙 차트보기")</f>
        <v>이리츠코크렙 차트보기</v>
      </c>
    </row>
    <row r="2560" spans="1:33" x14ac:dyDescent="0.3">
      <c r="A2560" t="s">
        <v>10267</v>
      </c>
      <c r="B2560" t="s">
        <v>55</v>
      </c>
      <c r="C2560" t="s">
        <v>10268</v>
      </c>
      <c r="D2560">
        <v>7820641.5199999996</v>
      </c>
      <c r="E2560" t="s">
        <v>10269</v>
      </c>
      <c r="F2560">
        <v>0</v>
      </c>
      <c r="G2560">
        <v>1.320000052452087</v>
      </c>
      <c r="H2560">
        <v>0</v>
      </c>
      <c r="I2560">
        <v>0</v>
      </c>
      <c r="J2560" t="s">
        <v>10270</v>
      </c>
      <c r="K2560">
        <v>826</v>
      </c>
      <c r="L2560">
        <v>984</v>
      </c>
      <c r="M2560">
        <v>19.13</v>
      </c>
      <c r="N2560">
        <v>65.099999999999994</v>
      </c>
      <c r="O2560">
        <v>61.36</v>
      </c>
      <c r="P2560">
        <v>99.56</v>
      </c>
      <c r="Q2560">
        <v>-59.18</v>
      </c>
      <c r="R2560">
        <v>-15.45</v>
      </c>
      <c r="S2560">
        <v>-8.58</v>
      </c>
      <c r="T2560">
        <v>16.46</v>
      </c>
      <c r="U2560">
        <v>7.46</v>
      </c>
      <c r="V2560">
        <v>12.31</v>
      </c>
      <c r="W2560">
        <v>6.6</v>
      </c>
      <c r="X2560">
        <v>4.28</v>
      </c>
      <c r="Y2560">
        <v>1.18</v>
      </c>
      <c r="Z2560">
        <v>3.96</v>
      </c>
      <c r="AA2560">
        <v>8.23</v>
      </c>
      <c r="AB2560">
        <v>8.09</v>
      </c>
      <c r="AC2560">
        <v>8.9700000000000006</v>
      </c>
      <c r="AD2560">
        <v>3.61</v>
      </c>
      <c r="AE2560">
        <v>7.27</v>
      </c>
      <c r="AF2560">
        <v>6.6883333333333326</v>
      </c>
      <c r="AG2560" t="str">
        <f>HYPERLINK("https://finance.naver.com/item/fchart.naver?code=219550", "디와이디 차트보기")</f>
        <v>디와이디 차트보기</v>
      </c>
    </row>
    <row r="2561" spans="1:33" x14ac:dyDescent="0.3">
      <c r="A2561" t="s">
        <v>10271</v>
      </c>
      <c r="B2561" t="s">
        <v>34</v>
      </c>
      <c r="C2561" t="s">
        <v>10272</v>
      </c>
      <c r="D2561">
        <v>1067548.1399999999</v>
      </c>
      <c r="E2561" t="s">
        <v>10273</v>
      </c>
      <c r="F2561">
        <v>0</v>
      </c>
      <c r="G2561">
        <v>11.77999973297119</v>
      </c>
      <c r="H2561">
        <v>0</v>
      </c>
      <c r="I2561">
        <v>0</v>
      </c>
      <c r="J2561" t="s">
        <v>10274</v>
      </c>
      <c r="K2561">
        <v>1244</v>
      </c>
      <c r="L2561">
        <v>3015</v>
      </c>
      <c r="M2561">
        <v>142.36000000000001</v>
      </c>
      <c r="N2561">
        <v>-16.940000000000001</v>
      </c>
      <c r="O2561">
        <v>-29.32</v>
      </c>
      <c r="P2561">
        <v>337.98</v>
      </c>
      <c r="Q2561">
        <v>-4.59</v>
      </c>
      <c r="R2561">
        <v>-2.4900000000000002</v>
      </c>
      <c r="S2561">
        <v>-14.67</v>
      </c>
      <c r="T2561">
        <v>10.93</v>
      </c>
      <c r="U2561">
        <v>5.71</v>
      </c>
      <c r="V2561">
        <v>15.45</v>
      </c>
      <c r="W2561">
        <v>2.0099999999999998</v>
      </c>
      <c r="X2561">
        <v>1.83</v>
      </c>
      <c r="Y2561">
        <v>1.76</v>
      </c>
      <c r="Z2561">
        <v>1.55</v>
      </c>
      <c r="AA2561">
        <v>5.13</v>
      </c>
      <c r="AB2561">
        <v>21.88</v>
      </c>
      <c r="AC2561">
        <v>2.2799999999999998</v>
      </c>
      <c r="AD2561">
        <v>1.36</v>
      </c>
      <c r="AE2561">
        <v>8.34</v>
      </c>
      <c r="AF2561">
        <v>6.7566666666666677</v>
      </c>
      <c r="AG2561" t="str">
        <f>HYPERLINK("https://finance.naver.com/item/fchart.naver?code=019490", "하이트론 차트보기")</f>
        <v>하이트론 차트보기</v>
      </c>
    </row>
    <row r="2562" spans="1:33" x14ac:dyDescent="0.3">
      <c r="A2562" t="s">
        <v>10275</v>
      </c>
      <c r="B2562" t="s">
        <v>55</v>
      </c>
      <c r="C2562" t="s">
        <v>10276</v>
      </c>
      <c r="D2562">
        <v>43837.33</v>
      </c>
      <c r="E2562" t="s">
        <v>10277</v>
      </c>
      <c r="F2562">
        <v>18.71</v>
      </c>
      <c r="G2562">
        <v>0.94999998807907104</v>
      </c>
      <c r="H2562">
        <v>590</v>
      </c>
      <c r="I2562">
        <v>1.809999942779541</v>
      </c>
      <c r="J2562" t="s">
        <v>10278</v>
      </c>
      <c r="K2562">
        <v>20750</v>
      </c>
      <c r="L2562">
        <v>11040</v>
      </c>
      <c r="M2562">
        <v>-46.8</v>
      </c>
      <c r="N2562">
        <v>11.74</v>
      </c>
      <c r="O2562">
        <v>-24.42</v>
      </c>
      <c r="P2562">
        <v>15.67</v>
      </c>
      <c r="Q2562">
        <v>-9.17</v>
      </c>
      <c r="R2562">
        <v>-29.75</v>
      </c>
      <c r="S2562">
        <v>-6.36</v>
      </c>
      <c r="T2562">
        <v>4.5</v>
      </c>
      <c r="U2562">
        <v>2.82</v>
      </c>
      <c r="V2562">
        <v>1.56</v>
      </c>
      <c r="W2562">
        <v>3.75</v>
      </c>
      <c r="X2562">
        <v>2.46</v>
      </c>
      <c r="Y2562">
        <v>1.31</v>
      </c>
      <c r="Z2562">
        <v>2.61</v>
      </c>
      <c r="AA2562">
        <v>8.66</v>
      </c>
      <c r="AB2562">
        <v>10.039999999999999</v>
      </c>
      <c r="AC2562">
        <v>2.4500000000000002</v>
      </c>
      <c r="AD2562">
        <v>12.09</v>
      </c>
      <c r="AE2562">
        <v>4.8499999999999996</v>
      </c>
      <c r="AF2562">
        <v>6.7833333333333323</v>
      </c>
      <c r="AG2562" t="str">
        <f>HYPERLINK("https://finance.naver.com/item/fchart.naver?code=104460", "디와이피엔에프 차트보기")</f>
        <v>디와이피엔에프 차트보기</v>
      </c>
    </row>
    <row r="2563" spans="1:33" x14ac:dyDescent="0.3">
      <c r="A2563" t="s">
        <v>10279</v>
      </c>
      <c r="B2563" t="s">
        <v>34</v>
      </c>
      <c r="C2563" t="s">
        <v>10280</v>
      </c>
      <c r="D2563">
        <v>196860.9</v>
      </c>
      <c r="E2563" t="s">
        <v>10281</v>
      </c>
      <c r="F2563">
        <v>41.83</v>
      </c>
      <c r="G2563">
        <v>1.0900000333786011</v>
      </c>
      <c r="H2563">
        <v>120</v>
      </c>
      <c r="I2563">
        <v>0</v>
      </c>
      <c r="J2563" t="s">
        <v>10282</v>
      </c>
      <c r="K2563">
        <v>3560</v>
      </c>
      <c r="L2563">
        <v>5020</v>
      </c>
      <c r="M2563">
        <v>41.01</v>
      </c>
      <c r="N2563">
        <v>3.4</v>
      </c>
      <c r="O2563">
        <v>17.149999999999999</v>
      </c>
      <c r="P2563">
        <v>32.64</v>
      </c>
      <c r="Q2563">
        <v>-1.1100000000000001</v>
      </c>
      <c r="R2563">
        <v>-8.64</v>
      </c>
      <c r="S2563">
        <v>-3.63</v>
      </c>
      <c r="T2563">
        <v>1.67</v>
      </c>
      <c r="U2563">
        <v>2.4700000000000002</v>
      </c>
      <c r="V2563">
        <v>1.64</v>
      </c>
      <c r="W2563">
        <v>2.96</v>
      </c>
      <c r="X2563">
        <v>1.1100000000000001</v>
      </c>
      <c r="Y2563">
        <v>0.75</v>
      </c>
      <c r="Z2563">
        <v>2.04</v>
      </c>
      <c r="AA2563">
        <v>6.94</v>
      </c>
      <c r="AB2563">
        <v>19.899999999999999</v>
      </c>
      <c r="AC2563">
        <v>0.38</v>
      </c>
      <c r="AD2563">
        <v>7.78</v>
      </c>
      <c r="AE2563">
        <v>4.84</v>
      </c>
      <c r="AF2563">
        <v>6.98</v>
      </c>
      <c r="AG2563" t="str">
        <f>HYPERLINK("https://finance.naver.com/item/fchart.naver?code=072130", "유엔젤 차트보기")</f>
        <v>유엔젤 차트보기</v>
      </c>
    </row>
    <row r="2564" spans="1:33" x14ac:dyDescent="0.3">
      <c r="A2564" t="s">
        <v>10283</v>
      </c>
      <c r="B2564" t="s">
        <v>55</v>
      </c>
      <c r="C2564" t="s">
        <v>10284</v>
      </c>
      <c r="D2564">
        <v>112989.67</v>
      </c>
      <c r="E2564" t="s">
        <v>10285</v>
      </c>
      <c r="F2564">
        <v>0</v>
      </c>
      <c r="G2564">
        <v>3.3599998950958252</v>
      </c>
      <c r="H2564">
        <v>0</v>
      </c>
      <c r="I2564">
        <v>0</v>
      </c>
      <c r="J2564" t="s">
        <v>10286</v>
      </c>
      <c r="K2564">
        <v>2075</v>
      </c>
      <c r="L2564">
        <v>1360</v>
      </c>
      <c r="M2564">
        <v>-34.46</v>
      </c>
      <c r="N2564">
        <v>-1.38</v>
      </c>
      <c r="O2564">
        <v>-2.9</v>
      </c>
      <c r="P2564">
        <v>-33.229999999999997</v>
      </c>
      <c r="Q2564">
        <v>67.739999999999995</v>
      </c>
      <c r="R2564">
        <v>-20.84</v>
      </c>
      <c r="S2564">
        <v>-10.029999999999999</v>
      </c>
      <c r="T2564">
        <v>4.3600000000000003</v>
      </c>
      <c r="U2564">
        <v>2.34</v>
      </c>
      <c r="V2564">
        <v>4</v>
      </c>
      <c r="W2564">
        <v>8.43</v>
      </c>
      <c r="X2564">
        <v>1.06</v>
      </c>
      <c r="Y2564">
        <v>1.68</v>
      </c>
      <c r="Z2564">
        <v>0.32</v>
      </c>
      <c r="AA2564">
        <v>1.24</v>
      </c>
      <c r="AB2564">
        <v>8.31</v>
      </c>
      <c r="AC2564">
        <v>8.0399999999999991</v>
      </c>
      <c r="AD2564">
        <v>19.66</v>
      </c>
      <c r="AE2564">
        <v>5.97</v>
      </c>
      <c r="AF2564">
        <v>7.2566666666666668</v>
      </c>
      <c r="AG2564" t="str">
        <f>HYPERLINK("https://finance.naver.com/item/fchart.naver?code=047080", "한빛소프트 차트보기")</f>
        <v>한빛소프트 차트보기</v>
      </c>
    </row>
    <row r="2565" spans="1:33" x14ac:dyDescent="0.3">
      <c r="A2565" t="s">
        <v>10287</v>
      </c>
      <c r="B2565" t="s">
        <v>34</v>
      </c>
      <c r="C2565" t="s">
        <v>10288</v>
      </c>
      <c r="D2565">
        <v>6988.24</v>
      </c>
      <c r="E2565" t="s">
        <v>10289</v>
      </c>
      <c r="F2565">
        <v>0</v>
      </c>
      <c r="G2565">
        <v>0</v>
      </c>
      <c r="H2565">
        <v>0</v>
      </c>
      <c r="I2565">
        <v>0</v>
      </c>
      <c r="J2565" t="s">
        <v>10290</v>
      </c>
      <c r="K2565">
        <v>82600</v>
      </c>
      <c r="L2565">
        <v>37800</v>
      </c>
      <c r="M2565">
        <v>-54.24</v>
      </c>
      <c r="N2565">
        <v>-4.91</v>
      </c>
      <c r="O2565">
        <v>-6.57</v>
      </c>
      <c r="P2565">
        <v>-4.71</v>
      </c>
      <c r="Q2565">
        <v>-24.63</v>
      </c>
      <c r="R2565">
        <v>-22.76</v>
      </c>
      <c r="S2565">
        <v>0</v>
      </c>
      <c r="T2565">
        <v>0.79</v>
      </c>
      <c r="U2565">
        <v>0.84</v>
      </c>
      <c r="V2565">
        <v>1.84</v>
      </c>
      <c r="W2565">
        <v>4.2699999999999996</v>
      </c>
      <c r="X2565">
        <v>12.42</v>
      </c>
      <c r="Y2565">
        <v>0</v>
      </c>
      <c r="Z2565">
        <v>6.22</v>
      </c>
      <c r="AA2565">
        <v>7.82</v>
      </c>
      <c r="AB2565">
        <v>2.56</v>
      </c>
      <c r="AC2565">
        <v>5.77</v>
      </c>
      <c r="AD2565">
        <v>1.83</v>
      </c>
      <c r="AG2565" t="str">
        <f>HYPERLINK("https://finance.naver.com/item/fchart.naver?code=487570", "HS효성 차트보기")</f>
        <v>HS효성 차트보기</v>
      </c>
    </row>
    <row r="2566" spans="1:33" x14ac:dyDescent="0.3">
      <c r="A2566" t="s">
        <v>10291</v>
      </c>
      <c r="B2566" t="s">
        <v>34</v>
      </c>
      <c r="C2566" t="s">
        <v>10292</v>
      </c>
      <c r="D2566">
        <v>0</v>
      </c>
      <c r="E2566" t="s">
        <v>10293</v>
      </c>
      <c r="F2566">
        <v>1.59</v>
      </c>
      <c r="G2566">
        <v>1.679999947547913</v>
      </c>
      <c r="H2566">
        <v>6784</v>
      </c>
      <c r="I2566">
        <v>0</v>
      </c>
      <c r="J2566" t="s">
        <v>10294</v>
      </c>
      <c r="K2566">
        <v>10760</v>
      </c>
      <c r="L2566">
        <v>10760</v>
      </c>
      <c r="M2566">
        <v>0</v>
      </c>
      <c r="N2566">
        <v>0</v>
      </c>
      <c r="O2566">
        <v>0</v>
      </c>
      <c r="P2566">
        <v>0</v>
      </c>
      <c r="Q2566">
        <v>0</v>
      </c>
      <c r="R2566">
        <v>0</v>
      </c>
      <c r="S2566">
        <v>0</v>
      </c>
      <c r="T2566">
        <v>0</v>
      </c>
      <c r="U2566">
        <v>0</v>
      </c>
      <c r="V2566">
        <v>0</v>
      </c>
      <c r="W2566">
        <v>0</v>
      </c>
      <c r="X2566">
        <v>0</v>
      </c>
      <c r="Y2566">
        <v>0</v>
      </c>
      <c r="AG2566" t="str">
        <f>HYPERLINK("https://finance.naver.com/item/fchart.naver?code=003560", "IHQ 차트보기")</f>
        <v>IHQ 차트보기</v>
      </c>
    </row>
    <row r="2567" spans="1:33" x14ac:dyDescent="0.3">
      <c r="A2567" t="s">
        <v>10295</v>
      </c>
      <c r="B2567" t="s">
        <v>34</v>
      </c>
      <c r="C2567" t="s">
        <v>10296</v>
      </c>
      <c r="D2567">
        <v>0</v>
      </c>
      <c r="E2567" t="s">
        <v>10293</v>
      </c>
      <c r="F2567">
        <v>0</v>
      </c>
      <c r="G2567">
        <v>0.239999994635582</v>
      </c>
      <c r="H2567">
        <v>0</v>
      </c>
      <c r="I2567">
        <v>0</v>
      </c>
      <c r="J2567" t="s">
        <v>10297</v>
      </c>
      <c r="K2567">
        <v>6630</v>
      </c>
      <c r="L2567">
        <v>6630</v>
      </c>
      <c r="M2567">
        <v>0</v>
      </c>
      <c r="N2567">
        <v>0</v>
      </c>
      <c r="O2567">
        <v>0</v>
      </c>
      <c r="P2567">
        <v>0</v>
      </c>
      <c r="Q2567">
        <v>0</v>
      </c>
      <c r="R2567">
        <v>0</v>
      </c>
      <c r="S2567">
        <v>0</v>
      </c>
      <c r="T2567">
        <v>0</v>
      </c>
      <c r="U2567">
        <v>0</v>
      </c>
      <c r="V2567">
        <v>0</v>
      </c>
      <c r="W2567">
        <v>0</v>
      </c>
      <c r="X2567">
        <v>0</v>
      </c>
      <c r="Y2567">
        <v>0</v>
      </c>
      <c r="AG2567" t="str">
        <f>HYPERLINK("https://finance.naver.com/item/fchart.naver?code=033180", "KH 필룩스 차트보기")</f>
        <v>KH 필룩스 차트보기</v>
      </c>
    </row>
    <row r="2568" spans="1:33" x14ac:dyDescent="0.3">
      <c r="A2568" t="s">
        <v>10298</v>
      </c>
      <c r="B2568" t="s">
        <v>34</v>
      </c>
      <c r="C2568" t="s">
        <v>10299</v>
      </c>
      <c r="D2568">
        <v>0</v>
      </c>
      <c r="E2568" t="s">
        <v>10293</v>
      </c>
      <c r="F2568">
        <v>60</v>
      </c>
      <c r="G2568">
        <v>1.2300000190734861</v>
      </c>
      <c r="H2568">
        <v>124</v>
      </c>
      <c r="I2568">
        <v>0.67000001668930054</v>
      </c>
      <c r="J2568" t="s">
        <v>10300</v>
      </c>
      <c r="K2568">
        <v>7440</v>
      </c>
      <c r="L2568">
        <v>7440</v>
      </c>
      <c r="M2568">
        <v>0</v>
      </c>
      <c r="N2568">
        <v>0</v>
      </c>
      <c r="O2568">
        <v>0</v>
      </c>
      <c r="P2568">
        <v>0</v>
      </c>
      <c r="Q2568">
        <v>0</v>
      </c>
      <c r="R2568">
        <v>0</v>
      </c>
      <c r="S2568">
        <v>0</v>
      </c>
      <c r="T2568">
        <v>0</v>
      </c>
      <c r="U2568">
        <v>0</v>
      </c>
      <c r="V2568">
        <v>0</v>
      </c>
      <c r="W2568">
        <v>0</v>
      </c>
      <c r="X2568">
        <v>0</v>
      </c>
      <c r="Y2568">
        <v>0</v>
      </c>
      <c r="AG2568" t="str">
        <f>HYPERLINK("https://finance.naver.com/item/fchart.naver?code=214390", "경보제약 차트보기")</f>
        <v>경보제약 차트보기</v>
      </c>
    </row>
    <row r="2569" spans="1:33" x14ac:dyDescent="0.3">
      <c r="A2569" t="s">
        <v>10301</v>
      </c>
      <c r="B2569" t="s">
        <v>34</v>
      </c>
      <c r="C2569" t="s">
        <v>10302</v>
      </c>
      <c r="D2569">
        <v>0</v>
      </c>
      <c r="E2569" t="s">
        <v>10293</v>
      </c>
      <c r="F2569">
        <v>0</v>
      </c>
      <c r="G2569">
        <v>0.88999998569488525</v>
      </c>
      <c r="H2569">
        <v>0</v>
      </c>
      <c r="I2569">
        <v>0</v>
      </c>
      <c r="J2569" t="s">
        <v>10303</v>
      </c>
      <c r="K2569">
        <v>2110</v>
      </c>
      <c r="L2569">
        <v>2110</v>
      </c>
      <c r="M2569">
        <v>0</v>
      </c>
      <c r="N2569">
        <v>0</v>
      </c>
      <c r="O2569">
        <v>0</v>
      </c>
      <c r="P2569">
        <v>0</v>
      </c>
      <c r="Q2569">
        <v>0</v>
      </c>
      <c r="R2569">
        <v>0</v>
      </c>
      <c r="S2569">
        <v>0</v>
      </c>
      <c r="T2569">
        <v>0</v>
      </c>
      <c r="U2569">
        <v>0</v>
      </c>
      <c r="V2569">
        <v>0</v>
      </c>
      <c r="W2569">
        <v>0</v>
      </c>
      <c r="X2569">
        <v>0</v>
      </c>
      <c r="Y2569">
        <v>0</v>
      </c>
      <c r="AG2569" t="str">
        <f>HYPERLINK("https://finance.naver.com/item/fchart.naver?code=001140", "국보 차트보기")</f>
        <v>국보 차트보기</v>
      </c>
    </row>
    <row r="2570" spans="1:33" x14ac:dyDescent="0.3">
      <c r="A2570" t="s">
        <v>10304</v>
      </c>
      <c r="B2570" t="s">
        <v>34</v>
      </c>
      <c r="C2570" t="s">
        <v>10305</v>
      </c>
      <c r="D2570">
        <v>0</v>
      </c>
      <c r="E2570" t="s">
        <v>10293</v>
      </c>
      <c r="F2570">
        <v>4.3899999999999997</v>
      </c>
      <c r="G2570">
        <v>0.46000000834465032</v>
      </c>
      <c r="H2570">
        <v>3427</v>
      </c>
      <c r="I2570">
        <v>0</v>
      </c>
      <c r="J2570" t="s">
        <v>10306</v>
      </c>
      <c r="K2570">
        <v>12890</v>
      </c>
      <c r="L2570">
        <v>15040</v>
      </c>
      <c r="M2570">
        <v>16.68</v>
      </c>
      <c r="N2570">
        <v>0</v>
      </c>
      <c r="O2570">
        <v>0</v>
      </c>
      <c r="P2570">
        <v>0</v>
      </c>
      <c r="Q2570">
        <v>0</v>
      </c>
      <c r="R2570">
        <v>0</v>
      </c>
      <c r="S2570">
        <v>-2.08</v>
      </c>
      <c r="T2570">
        <v>0</v>
      </c>
      <c r="U2570">
        <v>0</v>
      </c>
      <c r="V2570">
        <v>0</v>
      </c>
      <c r="W2570">
        <v>0</v>
      </c>
      <c r="X2570">
        <v>0</v>
      </c>
      <c r="Y2570">
        <v>4.6900000000000004</v>
      </c>
      <c r="AE2570">
        <v>0.44</v>
      </c>
      <c r="AG2570" t="str">
        <f>HYPERLINK("https://finance.naver.com/item/fchart.naver?code=008110", "대동전자 차트보기")</f>
        <v>대동전자 차트보기</v>
      </c>
    </row>
    <row r="2571" spans="1:33" x14ac:dyDescent="0.3">
      <c r="A2571" t="s">
        <v>10307</v>
      </c>
      <c r="B2571" t="s">
        <v>34</v>
      </c>
      <c r="C2571" t="s">
        <v>10308</v>
      </c>
      <c r="D2571">
        <v>0</v>
      </c>
      <c r="E2571" t="s">
        <v>10293</v>
      </c>
      <c r="F2571">
        <v>0</v>
      </c>
      <c r="G2571">
        <v>0</v>
      </c>
      <c r="H2571">
        <v>0</v>
      </c>
      <c r="I2571">
        <v>0</v>
      </c>
      <c r="J2571" t="s">
        <v>10309</v>
      </c>
      <c r="K2571">
        <v>1984</v>
      </c>
      <c r="L2571">
        <v>1984</v>
      </c>
      <c r="M2571">
        <v>0</v>
      </c>
      <c r="N2571">
        <v>0</v>
      </c>
      <c r="O2571">
        <v>0</v>
      </c>
      <c r="P2571">
        <v>0</v>
      </c>
      <c r="Q2571">
        <v>0</v>
      </c>
      <c r="R2571">
        <v>0</v>
      </c>
      <c r="S2571">
        <v>0</v>
      </c>
      <c r="T2571">
        <v>0</v>
      </c>
      <c r="U2571">
        <v>0</v>
      </c>
      <c r="V2571">
        <v>0</v>
      </c>
      <c r="W2571">
        <v>0</v>
      </c>
      <c r="X2571">
        <v>0</v>
      </c>
      <c r="Y2571">
        <v>0</v>
      </c>
      <c r="AG2571" t="str">
        <f>HYPERLINK("https://finance.naver.com/item/fchart.naver?code=000300", "대유플러스 차트보기")</f>
        <v>대유플러스 차트보기</v>
      </c>
    </row>
    <row r="2572" spans="1:33" x14ac:dyDescent="0.3">
      <c r="A2572" t="s">
        <v>10310</v>
      </c>
      <c r="B2572" t="s">
        <v>34</v>
      </c>
      <c r="C2572" t="s">
        <v>10311</v>
      </c>
      <c r="D2572">
        <v>5811.67</v>
      </c>
      <c r="E2572" t="s">
        <v>10312</v>
      </c>
      <c r="F2572">
        <v>9.66</v>
      </c>
      <c r="G2572">
        <v>0.34000000357627869</v>
      </c>
      <c r="H2572">
        <v>3106</v>
      </c>
      <c r="I2572">
        <v>0</v>
      </c>
      <c r="J2572" t="s">
        <v>10313</v>
      </c>
      <c r="K2572">
        <v>45000</v>
      </c>
      <c r="L2572">
        <v>30000</v>
      </c>
      <c r="M2572">
        <v>-33.33</v>
      </c>
      <c r="N2572">
        <v>-3.54</v>
      </c>
      <c r="O2572">
        <v>11.72</v>
      </c>
      <c r="P2572">
        <v>-34.56</v>
      </c>
      <c r="Q2572">
        <v>0</v>
      </c>
      <c r="R2572">
        <v>0</v>
      </c>
      <c r="S2572">
        <v>0</v>
      </c>
      <c r="T2572">
        <v>1.49</v>
      </c>
      <c r="U2572">
        <v>5.15</v>
      </c>
      <c r="V2572">
        <v>5.48</v>
      </c>
      <c r="W2572">
        <v>0</v>
      </c>
      <c r="X2572">
        <v>0</v>
      </c>
      <c r="Y2572">
        <v>0</v>
      </c>
      <c r="Z2572">
        <v>2.38</v>
      </c>
      <c r="AA2572">
        <v>2.2799999999999998</v>
      </c>
      <c r="AB2572">
        <v>6.31</v>
      </c>
      <c r="AG2572" t="str">
        <f>HYPERLINK("https://finance.naver.com/item/fchart.naver?code=001080", "만호제강 차트보기")</f>
        <v>만호제강 차트보기</v>
      </c>
    </row>
    <row r="2573" spans="1:33" x14ac:dyDescent="0.3">
      <c r="A2573" t="s">
        <v>10314</v>
      </c>
      <c r="B2573" t="s">
        <v>34</v>
      </c>
      <c r="C2573" t="s">
        <v>10315</v>
      </c>
      <c r="D2573">
        <v>0</v>
      </c>
      <c r="E2573" t="s">
        <v>10293</v>
      </c>
      <c r="F2573">
        <v>0</v>
      </c>
      <c r="G2573">
        <v>1.919999957084656</v>
      </c>
      <c r="H2573">
        <v>0</v>
      </c>
      <c r="I2573">
        <v>0</v>
      </c>
      <c r="J2573" t="s">
        <v>10316</v>
      </c>
      <c r="K2573">
        <v>486</v>
      </c>
      <c r="L2573">
        <v>486</v>
      </c>
      <c r="M2573">
        <v>0</v>
      </c>
      <c r="N2573">
        <v>0</v>
      </c>
      <c r="O2573">
        <v>0</v>
      </c>
      <c r="P2573">
        <v>0</v>
      </c>
      <c r="Q2573">
        <v>0</v>
      </c>
      <c r="R2573">
        <v>0</v>
      </c>
      <c r="S2573">
        <v>0</v>
      </c>
      <c r="T2573">
        <v>0</v>
      </c>
      <c r="U2573">
        <v>0</v>
      </c>
      <c r="V2573">
        <v>0</v>
      </c>
      <c r="W2573">
        <v>0</v>
      </c>
      <c r="X2573">
        <v>0</v>
      </c>
      <c r="Y2573">
        <v>0</v>
      </c>
      <c r="AG2573" t="str">
        <f>HYPERLINK("https://finance.naver.com/item/fchart.naver?code=005030", "부산주공 차트보기")</f>
        <v>부산주공 차트보기</v>
      </c>
    </row>
    <row r="2574" spans="1:33" x14ac:dyDescent="0.3">
      <c r="A2574" t="s">
        <v>10317</v>
      </c>
      <c r="B2574" t="s">
        <v>34</v>
      </c>
      <c r="C2574" t="s">
        <v>10318</v>
      </c>
      <c r="D2574">
        <v>956430.95</v>
      </c>
      <c r="E2574" t="s">
        <v>10319</v>
      </c>
      <c r="F2574">
        <v>35.04</v>
      </c>
      <c r="G2574">
        <v>11.72999954223633</v>
      </c>
      <c r="H2574">
        <v>1761</v>
      </c>
      <c r="I2574">
        <v>0.31000000238418579</v>
      </c>
      <c r="J2574" t="s">
        <v>10320</v>
      </c>
      <c r="K2574">
        <v>50200</v>
      </c>
      <c r="L2574">
        <v>61700</v>
      </c>
      <c r="M2574">
        <v>22.91</v>
      </c>
      <c r="N2574">
        <v>37.42</v>
      </c>
      <c r="O2574">
        <v>-4.2</v>
      </c>
      <c r="P2574">
        <v>25.92</v>
      </c>
      <c r="Q2574">
        <v>-25.14</v>
      </c>
      <c r="R2574">
        <v>0.2</v>
      </c>
      <c r="S2574">
        <v>0</v>
      </c>
      <c r="T2574">
        <v>6.9</v>
      </c>
      <c r="U2574">
        <v>4.45</v>
      </c>
      <c r="V2574">
        <v>6.35</v>
      </c>
      <c r="W2574">
        <v>5.69</v>
      </c>
      <c r="X2574">
        <v>14.09</v>
      </c>
      <c r="Y2574">
        <v>0</v>
      </c>
      <c r="Z2574">
        <v>5.42</v>
      </c>
      <c r="AA2574">
        <v>0.94</v>
      </c>
      <c r="AB2574">
        <v>4.08</v>
      </c>
      <c r="AC2574">
        <v>4.42</v>
      </c>
      <c r="AD2574">
        <v>0.01</v>
      </c>
      <c r="AG2574" t="str">
        <f>HYPERLINK("https://finance.naver.com/item/fchart.naver?code=062040", "산일전기 차트보기")</f>
        <v>산일전기 차트보기</v>
      </c>
    </row>
    <row r="2575" spans="1:33" x14ac:dyDescent="0.3">
      <c r="A2575" t="s">
        <v>10321</v>
      </c>
      <c r="B2575" t="s">
        <v>34</v>
      </c>
      <c r="C2575" t="s">
        <v>10322</v>
      </c>
      <c r="D2575">
        <v>0</v>
      </c>
      <c r="E2575" t="s">
        <v>10293</v>
      </c>
      <c r="F2575">
        <v>0</v>
      </c>
      <c r="G2575">
        <v>2.369999885559082</v>
      </c>
      <c r="H2575">
        <v>0</v>
      </c>
      <c r="I2575">
        <v>0</v>
      </c>
      <c r="J2575" t="s">
        <v>10323</v>
      </c>
      <c r="K2575">
        <v>3000</v>
      </c>
      <c r="L2575">
        <v>3000</v>
      </c>
      <c r="M2575">
        <v>0</v>
      </c>
      <c r="N2575">
        <v>0</v>
      </c>
      <c r="O2575">
        <v>0</v>
      </c>
      <c r="P2575">
        <v>0</v>
      </c>
      <c r="Q2575">
        <v>0</v>
      </c>
      <c r="R2575">
        <v>0</v>
      </c>
      <c r="S2575">
        <v>0</v>
      </c>
      <c r="T2575">
        <v>0</v>
      </c>
      <c r="U2575">
        <v>0</v>
      </c>
      <c r="V2575">
        <v>0</v>
      </c>
      <c r="W2575">
        <v>0</v>
      </c>
      <c r="X2575">
        <v>0</v>
      </c>
      <c r="Y2575">
        <v>0</v>
      </c>
      <c r="AG2575" t="str">
        <f>HYPERLINK("https://finance.naver.com/item/fchart.naver?code=007610", "선도전기 차트보기")</f>
        <v>선도전기 차트보기</v>
      </c>
    </row>
    <row r="2576" spans="1:33" x14ac:dyDescent="0.3">
      <c r="A2576" t="s">
        <v>10324</v>
      </c>
      <c r="B2576" t="s">
        <v>34</v>
      </c>
      <c r="C2576" t="s">
        <v>10325</v>
      </c>
      <c r="D2576">
        <v>0</v>
      </c>
      <c r="E2576" t="s">
        <v>10293</v>
      </c>
      <c r="F2576">
        <v>0</v>
      </c>
      <c r="G2576">
        <v>0.34999999403953552</v>
      </c>
      <c r="H2576">
        <v>0</v>
      </c>
      <c r="I2576">
        <v>0</v>
      </c>
      <c r="J2576" t="s">
        <v>10326</v>
      </c>
      <c r="K2576">
        <v>1270</v>
      </c>
      <c r="L2576">
        <v>1270</v>
      </c>
      <c r="M2576">
        <v>0</v>
      </c>
      <c r="N2576">
        <v>0</v>
      </c>
      <c r="O2576">
        <v>0</v>
      </c>
      <c r="P2576">
        <v>0</v>
      </c>
      <c r="Q2576">
        <v>0</v>
      </c>
      <c r="R2576">
        <v>0</v>
      </c>
      <c r="S2576">
        <v>0</v>
      </c>
      <c r="T2576">
        <v>0</v>
      </c>
      <c r="U2576">
        <v>0</v>
      </c>
      <c r="V2576">
        <v>0</v>
      </c>
      <c r="W2576">
        <v>0</v>
      </c>
      <c r="X2576">
        <v>0</v>
      </c>
      <c r="Y2576">
        <v>0</v>
      </c>
      <c r="AG2576" t="str">
        <f>HYPERLINK("https://finance.naver.com/item/fchart.naver?code=091090", "세원이앤씨 차트보기")</f>
        <v>세원이앤씨 차트보기</v>
      </c>
    </row>
    <row r="2577" spans="1:33" x14ac:dyDescent="0.3">
      <c r="A2577" t="s">
        <v>10327</v>
      </c>
      <c r="B2577" t="s">
        <v>34</v>
      </c>
      <c r="C2577" t="s">
        <v>10328</v>
      </c>
      <c r="D2577">
        <v>360542.38</v>
      </c>
      <c r="E2577" t="s">
        <v>10329</v>
      </c>
      <c r="F2577">
        <v>20.14</v>
      </c>
      <c r="G2577">
        <v>16.569999694824219</v>
      </c>
      <c r="H2577">
        <v>3004</v>
      </c>
      <c r="I2577">
        <v>0</v>
      </c>
      <c r="J2577" t="s">
        <v>10330</v>
      </c>
      <c r="K2577">
        <v>71000</v>
      </c>
      <c r="L2577">
        <v>60500</v>
      </c>
      <c r="M2577">
        <v>-14.79</v>
      </c>
      <c r="N2577">
        <v>-9.16</v>
      </c>
      <c r="O2577">
        <v>15.74</v>
      </c>
      <c r="P2577">
        <v>-9.74</v>
      </c>
      <c r="Q2577">
        <v>-8.73</v>
      </c>
      <c r="R2577">
        <v>-5.63</v>
      </c>
      <c r="S2577">
        <v>0</v>
      </c>
      <c r="T2577">
        <v>2.21</v>
      </c>
      <c r="U2577">
        <v>4.29</v>
      </c>
      <c r="V2577">
        <v>3.13</v>
      </c>
      <c r="W2577">
        <v>6.36</v>
      </c>
      <c r="X2577">
        <v>4.6500000000000004</v>
      </c>
      <c r="Y2577">
        <v>0</v>
      </c>
      <c r="Z2577">
        <v>4.1399999999999997</v>
      </c>
      <c r="AA2577">
        <v>3.67</v>
      </c>
      <c r="AB2577">
        <v>3.11</v>
      </c>
      <c r="AC2577">
        <v>1.37</v>
      </c>
      <c r="AD2577">
        <v>1.21</v>
      </c>
      <c r="AG2577" t="str">
        <f>HYPERLINK("https://finance.naver.com/item/fchart.naver?code=462870", "시프트업 차트보기")</f>
        <v>시프트업 차트보기</v>
      </c>
    </row>
    <row r="2578" spans="1:33" x14ac:dyDescent="0.3">
      <c r="A2578" t="s">
        <v>10331</v>
      </c>
      <c r="B2578" t="s">
        <v>34</v>
      </c>
      <c r="C2578" t="s">
        <v>10332</v>
      </c>
      <c r="D2578">
        <v>144633.95000000001</v>
      </c>
      <c r="E2578" t="s">
        <v>10333</v>
      </c>
      <c r="J2578" t="s">
        <v>10334</v>
      </c>
      <c r="K2578">
        <v>2760</v>
      </c>
      <c r="L2578">
        <v>1949</v>
      </c>
      <c r="M2578">
        <v>-29.38</v>
      </c>
      <c r="N2578">
        <v>-11</v>
      </c>
      <c r="O2578">
        <v>-12.75</v>
      </c>
      <c r="P2578">
        <v>0</v>
      </c>
      <c r="Q2578">
        <v>-5.52</v>
      </c>
      <c r="R2578">
        <v>1.99</v>
      </c>
      <c r="S2578">
        <v>0</v>
      </c>
      <c r="T2578">
        <v>1.65</v>
      </c>
      <c r="U2578">
        <v>1.71</v>
      </c>
      <c r="V2578">
        <v>1.77</v>
      </c>
      <c r="W2578">
        <v>1.47</v>
      </c>
      <c r="X2578">
        <v>1.1200000000000001</v>
      </c>
      <c r="Y2578">
        <v>0</v>
      </c>
      <c r="Z2578">
        <v>6.67</v>
      </c>
      <c r="AA2578">
        <v>7.46</v>
      </c>
      <c r="AB2578">
        <v>0</v>
      </c>
      <c r="AC2578">
        <v>3.76</v>
      </c>
      <c r="AD2578">
        <v>1.78</v>
      </c>
      <c r="AG2578" t="str">
        <f>HYPERLINK("https://finance.naver.com/item/fchart.naver?code=481850", "신한글로벌액티브리츠 차트보기")</f>
        <v>신한글로벌액티브리츠 차트보기</v>
      </c>
    </row>
    <row r="2579" spans="1:33" x14ac:dyDescent="0.3">
      <c r="A2579" t="s">
        <v>10335</v>
      </c>
      <c r="B2579" t="s">
        <v>34</v>
      </c>
      <c r="C2579" t="s">
        <v>10336</v>
      </c>
      <c r="D2579">
        <v>0</v>
      </c>
      <c r="E2579" t="s">
        <v>10293</v>
      </c>
      <c r="F2579">
        <v>0</v>
      </c>
      <c r="G2579">
        <v>0.62000000476837158</v>
      </c>
      <c r="H2579">
        <v>0</v>
      </c>
      <c r="I2579">
        <v>0</v>
      </c>
      <c r="J2579" t="s">
        <v>10337</v>
      </c>
      <c r="K2579">
        <v>269</v>
      </c>
      <c r="L2579">
        <v>269</v>
      </c>
      <c r="M2579">
        <v>0</v>
      </c>
      <c r="N2579">
        <v>0</v>
      </c>
      <c r="O2579">
        <v>0</v>
      </c>
      <c r="P2579">
        <v>0</v>
      </c>
      <c r="Q2579">
        <v>0</v>
      </c>
      <c r="R2579">
        <v>0</v>
      </c>
      <c r="S2579">
        <v>0</v>
      </c>
      <c r="T2579">
        <v>0</v>
      </c>
      <c r="U2579">
        <v>0</v>
      </c>
      <c r="V2579">
        <v>0</v>
      </c>
      <c r="W2579">
        <v>0</v>
      </c>
      <c r="X2579">
        <v>0</v>
      </c>
      <c r="Y2579">
        <v>0</v>
      </c>
      <c r="AG2579" t="str">
        <f>HYPERLINK("https://finance.naver.com/item/fchart.naver?code=102280", "쌍방울 차트보기")</f>
        <v>쌍방울 차트보기</v>
      </c>
    </row>
    <row r="2580" spans="1:33" x14ac:dyDescent="0.3">
      <c r="A2580" t="s">
        <v>10338</v>
      </c>
      <c r="B2580" t="s">
        <v>34</v>
      </c>
      <c r="C2580" t="s">
        <v>10339</v>
      </c>
      <c r="D2580">
        <v>0</v>
      </c>
      <c r="E2580" t="s">
        <v>10293</v>
      </c>
      <c r="J2580" t="s">
        <v>10340</v>
      </c>
      <c r="K2580">
        <v>3130</v>
      </c>
      <c r="L2580">
        <v>3130</v>
      </c>
      <c r="M2580">
        <v>0</v>
      </c>
      <c r="N2580">
        <v>0</v>
      </c>
      <c r="O2580">
        <v>0</v>
      </c>
      <c r="P2580">
        <v>0</v>
      </c>
      <c r="Q2580">
        <v>0</v>
      </c>
      <c r="R2580">
        <v>0</v>
      </c>
      <c r="S2580">
        <v>0</v>
      </c>
      <c r="T2580">
        <v>0</v>
      </c>
      <c r="U2580">
        <v>0</v>
      </c>
      <c r="V2580">
        <v>0</v>
      </c>
      <c r="W2580">
        <v>0</v>
      </c>
      <c r="X2580">
        <v>0</v>
      </c>
      <c r="Y2580">
        <v>0</v>
      </c>
      <c r="AG2580" t="str">
        <f>HYPERLINK("https://finance.naver.com/item/fchart.naver?code=140910", "에이리츠 차트보기")</f>
        <v>에이리츠 차트보기</v>
      </c>
    </row>
    <row r="2581" spans="1:33" x14ac:dyDescent="0.3">
      <c r="A2581" t="s">
        <v>10341</v>
      </c>
      <c r="B2581" t="s">
        <v>34</v>
      </c>
      <c r="C2581" t="s">
        <v>10342</v>
      </c>
      <c r="D2581">
        <v>0</v>
      </c>
      <c r="E2581" t="s">
        <v>10293</v>
      </c>
      <c r="F2581">
        <v>0</v>
      </c>
      <c r="G2581">
        <v>1.299999952316284</v>
      </c>
      <c r="H2581">
        <v>0</v>
      </c>
      <c r="I2581">
        <v>0</v>
      </c>
      <c r="J2581" t="s">
        <v>10343</v>
      </c>
      <c r="K2581">
        <v>545</v>
      </c>
      <c r="L2581">
        <v>545</v>
      </c>
      <c r="M2581">
        <v>0</v>
      </c>
      <c r="N2581">
        <v>0</v>
      </c>
      <c r="O2581">
        <v>0</v>
      </c>
      <c r="P2581">
        <v>0</v>
      </c>
      <c r="Q2581">
        <v>0</v>
      </c>
      <c r="R2581">
        <v>0</v>
      </c>
      <c r="S2581">
        <v>0</v>
      </c>
      <c r="T2581">
        <v>0</v>
      </c>
      <c r="U2581">
        <v>0</v>
      </c>
      <c r="V2581">
        <v>0</v>
      </c>
      <c r="W2581">
        <v>0</v>
      </c>
      <c r="X2581">
        <v>0</v>
      </c>
      <c r="Y2581">
        <v>0</v>
      </c>
      <c r="AG2581" t="str">
        <f>HYPERLINK("https://finance.naver.com/item/fchart.naver?code=010600", "웰바이오텍 차트보기")</f>
        <v>웰바이오텍 차트보기</v>
      </c>
    </row>
    <row r="2582" spans="1:33" x14ac:dyDescent="0.3">
      <c r="A2582" t="s">
        <v>10344</v>
      </c>
      <c r="B2582" t="s">
        <v>34</v>
      </c>
      <c r="C2582" t="s">
        <v>10345</v>
      </c>
      <c r="D2582">
        <v>0</v>
      </c>
      <c r="E2582" t="s">
        <v>10293</v>
      </c>
      <c r="F2582">
        <v>0</v>
      </c>
      <c r="G2582">
        <v>1.679999947547913</v>
      </c>
      <c r="H2582">
        <v>0</v>
      </c>
      <c r="I2582">
        <v>0</v>
      </c>
      <c r="J2582" t="s">
        <v>10346</v>
      </c>
      <c r="K2582">
        <v>1392</v>
      </c>
      <c r="L2582">
        <v>1392</v>
      </c>
      <c r="M2582">
        <v>0</v>
      </c>
      <c r="N2582">
        <v>0</v>
      </c>
      <c r="O2582">
        <v>0</v>
      </c>
      <c r="P2582">
        <v>0</v>
      </c>
      <c r="Q2582">
        <v>0</v>
      </c>
      <c r="R2582">
        <v>0</v>
      </c>
      <c r="S2582">
        <v>0</v>
      </c>
      <c r="T2582">
        <v>0</v>
      </c>
      <c r="U2582">
        <v>0</v>
      </c>
      <c r="V2582">
        <v>0</v>
      </c>
      <c r="W2582">
        <v>0</v>
      </c>
      <c r="X2582">
        <v>0</v>
      </c>
      <c r="Y2582">
        <v>0</v>
      </c>
      <c r="AG2582" t="str">
        <f>HYPERLINK("https://finance.naver.com/item/fchart.naver?code=093230", "이아이디 차트보기")</f>
        <v>이아이디 차트보기</v>
      </c>
    </row>
    <row r="2583" spans="1:33" x14ac:dyDescent="0.3">
      <c r="A2583" t="s">
        <v>10347</v>
      </c>
      <c r="B2583" t="s">
        <v>34</v>
      </c>
      <c r="C2583" t="s">
        <v>10348</v>
      </c>
      <c r="D2583">
        <v>0</v>
      </c>
      <c r="E2583" t="s">
        <v>10293</v>
      </c>
      <c r="F2583">
        <v>4.21</v>
      </c>
      <c r="G2583">
        <v>0.62999999523162842</v>
      </c>
      <c r="H2583">
        <v>2216</v>
      </c>
      <c r="I2583">
        <v>0</v>
      </c>
      <c r="J2583" t="s">
        <v>10349</v>
      </c>
      <c r="K2583">
        <v>9340</v>
      </c>
      <c r="L2583">
        <v>9340</v>
      </c>
      <c r="M2583">
        <v>0</v>
      </c>
      <c r="N2583">
        <v>0</v>
      </c>
      <c r="O2583">
        <v>0</v>
      </c>
      <c r="P2583">
        <v>0</v>
      </c>
      <c r="Q2583">
        <v>0</v>
      </c>
      <c r="R2583">
        <v>0</v>
      </c>
      <c r="S2583">
        <v>0</v>
      </c>
      <c r="T2583">
        <v>0</v>
      </c>
      <c r="U2583">
        <v>0</v>
      </c>
      <c r="V2583">
        <v>0</v>
      </c>
      <c r="W2583">
        <v>0</v>
      </c>
      <c r="X2583">
        <v>0</v>
      </c>
      <c r="Y2583">
        <v>0</v>
      </c>
      <c r="AG2583" t="str">
        <f>HYPERLINK("https://finance.naver.com/item/fchart.naver?code=101140", "인바이오젠 차트보기")</f>
        <v>인바이오젠 차트보기</v>
      </c>
    </row>
    <row r="2584" spans="1:33" x14ac:dyDescent="0.3">
      <c r="A2584" t="s">
        <v>10350</v>
      </c>
      <c r="B2584" t="s">
        <v>34</v>
      </c>
      <c r="C2584" t="s">
        <v>10351</v>
      </c>
      <c r="D2584">
        <v>1852362.52</v>
      </c>
      <c r="E2584" t="s">
        <v>10352</v>
      </c>
      <c r="F2584">
        <v>12.47</v>
      </c>
      <c r="G2584">
        <v>3.4600000381469731</v>
      </c>
      <c r="H2584">
        <v>2105</v>
      </c>
      <c r="I2584">
        <v>4.0100002288818359</v>
      </c>
      <c r="J2584" t="s">
        <v>10353</v>
      </c>
      <c r="K2584">
        <v>20550</v>
      </c>
      <c r="L2584">
        <v>26250</v>
      </c>
      <c r="M2584">
        <v>27.74</v>
      </c>
      <c r="N2584">
        <v>16.149999999999999</v>
      </c>
      <c r="O2584">
        <v>64.38</v>
      </c>
      <c r="P2584">
        <v>-18.690000000000001</v>
      </c>
      <c r="Q2584">
        <v>-11.44</v>
      </c>
      <c r="R2584">
        <v>0</v>
      </c>
      <c r="S2584">
        <v>0</v>
      </c>
      <c r="T2584">
        <v>8.1300000000000008</v>
      </c>
      <c r="U2584">
        <v>5.35</v>
      </c>
      <c r="V2584">
        <v>4.59</v>
      </c>
      <c r="W2584">
        <v>3.5</v>
      </c>
      <c r="X2584">
        <v>0</v>
      </c>
      <c r="Y2584">
        <v>0</v>
      </c>
      <c r="Z2584">
        <v>1.99</v>
      </c>
      <c r="AA2584">
        <v>12.03</v>
      </c>
      <c r="AB2584">
        <v>4.07</v>
      </c>
      <c r="AC2584">
        <v>3.27</v>
      </c>
      <c r="AG2584" t="str">
        <f>HYPERLINK("https://finance.naver.com/item/fchart.naver?code=079900", "전진건설로봇 차트보기")</f>
        <v>전진건설로봇 차트보기</v>
      </c>
    </row>
    <row r="2585" spans="1:33" x14ac:dyDescent="0.3">
      <c r="A2585" t="s">
        <v>10354</v>
      </c>
      <c r="B2585" t="s">
        <v>34</v>
      </c>
      <c r="C2585" t="s">
        <v>10355</v>
      </c>
      <c r="D2585">
        <v>0</v>
      </c>
      <c r="E2585" t="s">
        <v>10293</v>
      </c>
      <c r="F2585">
        <v>0</v>
      </c>
      <c r="G2585">
        <v>9.7200002670288086</v>
      </c>
      <c r="H2585">
        <v>0</v>
      </c>
      <c r="I2585">
        <v>0</v>
      </c>
      <c r="J2585" t="s">
        <v>10356</v>
      </c>
      <c r="K2585">
        <v>4100</v>
      </c>
      <c r="L2585">
        <v>4100</v>
      </c>
      <c r="M2585">
        <v>0</v>
      </c>
      <c r="N2585">
        <v>0</v>
      </c>
      <c r="O2585">
        <v>0</v>
      </c>
      <c r="P2585">
        <v>0</v>
      </c>
      <c r="Q2585">
        <v>0</v>
      </c>
      <c r="R2585">
        <v>0</v>
      </c>
      <c r="S2585">
        <v>0</v>
      </c>
      <c r="T2585">
        <v>0</v>
      </c>
      <c r="U2585">
        <v>0</v>
      </c>
      <c r="V2585">
        <v>0</v>
      </c>
      <c r="W2585">
        <v>0</v>
      </c>
      <c r="X2585">
        <v>0</v>
      </c>
      <c r="Y2585">
        <v>0</v>
      </c>
      <c r="AG2585" t="str">
        <f>HYPERLINK("https://finance.naver.com/item/fchart.naver?code=109070", "주성코퍼레이션 차트보기")</f>
        <v>주성코퍼레이션 차트보기</v>
      </c>
    </row>
    <row r="2586" spans="1:33" x14ac:dyDescent="0.3">
      <c r="A2586" t="s">
        <v>10357</v>
      </c>
      <c r="B2586" t="s">
        <v>34</v>
      </c>
      <c r="C2586" t="s">
        <v>10358</v>
      </c>
      <c r="D2586">
        <v>0</v>
      </c>
      <c r="E2586" t="s">
        <v>10293</v>
      </c>
      <c r="F2586">
        <v>0</v>
      </c>
      <c r="G2586">
        <v>2.5799999237060551</v>
      </c>
      <c r="H2586">
        <v>0</v>
      </c>
      <c r="I2586">
        <v>0</v>
      </c>
      <c r="J2586" t="s">
        <v>10359</v>
      </c>
      <c r="K2586">
        <v>2490</v>
      </c>
      <c r="L2586">
        <v>2490</v>
      </c>
      <c r="M2586">
        <v>0</v>
      </c>
      <c r="N2586">
        <v>0</v>
      </c>
      <c r="O2586">
        <v>0</v>
      </c>
      <c r="P2586">
        <v>0</v>
      </c>
      <c r="Q2586">
        <v>0</v>
      </c>
      <c r="R2586">
        <v>0</v>
      </c>
      <c r="S2586">
        <v>0</v>
      </c>
      <c r="T2586">
        <v>0</v>
      </c>
      <c r="U2586">
        <v>0</v>
      </c>
      <c r="V2586">
        <v>0</v>
      </c>
      <c r="W2586">
        <v>0</v>
      </c>
      <c r="X2586">
        <v>0</v>
      </c>
      <c r="Y2586">
        <v>0</v>
      </c>
      <c r="AG2586" t="str">
        <f>HYPERLINK("https://finance.naver.com/item/fchart.naver?code=012600", "청호ICT 차트보기")</f>
        <v>청호ICT 차트보기</v>
      </c>
    </row>
    <row r="2587" spans="1:33" x14ac:dyDescent="0.3">
      <c r="A2587" t="s">
        <v>10360</v>
      </c>
      <c r="B2587" t="s">
        <v>34</v>
      </c>
      <c r="C2587" t="s">
        <v>10361</v>
      </c>
      <c r="D2587">
        <v>0</v>
      </c>
      <c r="E2587" t="s">
        <v>10293</v>
      </c>
      <c r="F2587">
        <v>0</v>
      </c>
      <c r="G2587">
        <v>0</v>
      </c>
      <c r="H2587">
        <v>0</v>
      </c>
      <c r="I2587">
        <v>0</v>
      </c>
      <c r="J2587" t="s">
        <v>10362</v>
      </c>
      <c r="K2587">
        <v>3660</v>
      </c>
      <c r="L2587">
        <v>3660</v>
      </c>
      <c r="M2587">
        <v>0</v>
      </c>
      <c r="N2587">
        <v>0</v>
      </c>
      <c r="O2587">
        <v>0</v>
      </c>
      <c r="P2587">
        <v>0</v>
      </c>
      <c r="Q2587">
        <v>0</v>
      </c>
      <c r="R2587">
        <v>0</v>
      </c>
      <c r="S2587">
        <v>0</v>
      </c>
      <c r="T2587">
        <v>0</v>
      </c>
      <c r="U2587">
        <v>0</v>
      </c>
      <c r="V2587">
        <v>0</v>
      </c>
      <c r="W2587">
        <v>0</v>
      </c>
      <c r="X2587">
        <v>0</v>
      </c>
      <c r="Y2587">
        <v>0</v>
      </c>
      <c r="AG2587" t="str">
        <f>HYPERLINK("https://finance.naver.com/item/fchart.naver?code=006380", "카프로 차트보기")</f>
        <v>카프로 차트보기</v>
      </c>
    </row>
    <row r="2588" spans="1:33" x14ac:dyDescent="0.3">
      <c r="A2588" t="s">
        <v>10363</v>
      </c>
      <c r="B2588" t="s">
        <v>34</v>
      </c>
      <c r="C2588" t="s">
        <v>10364</v>
      </c>
      <c r="D2588">
        <v>497160.05</v>
      </c>
      <c r="E2588" t="s">
        <v>10365</v>
      </c>
      <c r="F2588">
        <v>0</v>
      </c>
      <c r="G2588">
        <v>0</v>
      </c>
      <c r="H2588">
        <v>0</v>
      </c>
      <c r="I2588">
        <v>0</v>
      </c>
      <c r="J2588" t="s">
        <v>10366</v>
      </c>
      <c r="K2588">
        <v>4700</v>
      </c>
      <c r="L2588">
        <v>2985</v>
      </c>
      <c r="M2588">
        <v>-36.49</v>
      </c>
      <c r="N2588">
        <v>-19.32</v>
      </c>
      <c r="O2588">
        <v>-5.64</v>
      </c>
      <c r="P2588">
        <v>0</v>
      </c>
      <c r="Q2588">
        <v>0</v>
      </c>
      <c r="R2588">
        <v>0</v>
      </c>
      <c r="S2588">
        <v>0</v>
      </c>
      <c r="T2588">
        <v>6.54</v>
      </c>
      <c r="U2588">
        <v>1.26</v>
      </c>
      <c r="V2588">
        <v>0</v>
      </c>
      <c r="W2588">
        <v>0</v>
      </c>
      <c r="X2588">
        <v>0</v>
      </c>
      <c r="Y2588">
        <v>0</v>
      </c>
      <c r="Z2588">
        <v>2.95</v>
      </c>
      <c r="AA2588">
        <v>4.4800000000000004</v>
      </c>
      <c r="AG2588" t="str">
        <f>HYPERLINK("https://finance.naver.com/item/fchart.naver?code=009410", "태영건설 차트보기")</f>
        <v>태영건설 차트보기</v>
      </c>
    </row>
    <row r="2589" spans="1:33" x14ac:dyDescent="0.3">
      <c r="A2589" t="s">
        <v>10367</v>
      </c>
      <c r="B2589" t="s">
        <v>34</v>
      </c>
      <c r="C2589" t="s">
        <v>10368</v>
      </c>
      <c r="D2589">
        <v>19264.43</v>
      </c>
      <c r="E2589" t="s">
        <v>10369</v>
      </c>
      <c r="F2589">
        <v>0</v>
      </c>
      <c r="G2589">
        <v>0</v>
      </c>
      <c r="H2589">
        <v>0</v>
      </c>
      <c r="I2589">
        <v>0</v>
      </c>
      <c r="J2589" t="s">
        <v>10370</v>
      </c>
      <c r="K2589">
        <v>3565</v>
      </c>
      <c r="L2589">
        <v>6160</v>
      </c>
      <c r="M2589">
        <v>72.790000000000006</v>
      </c>
      <c r="N2589">
        <v>-16.079999999999998</v>
      </c>
      <c r="O2589">
        <v>21.46</v>
      </c>
      <c r="P2589">
        <v>0</v>
      </c>
      <c r="Q2589">
        <v>0</v>
      </c>
      <c r="R2589">
        <v>100</v>
      </c>
      <c r="S2589">
        <v>0</v>
      </c>
      <c r="T2589">
        <v>6.26</v>
      </c>
      <c r="U2589">
        <v>4.8</v>
      </c>
      <c r="V2589">
        <v>0</v>
      </c>
      <c r="W2589">
        <v>0</v>
      </c>
      <c r="X2589">
        <v>20.85</v>
      </c>
      <c r="Y2589">
        <v>0</v>
      </c>
      <c r="Z2589">
        <v>2.57</v>
      </c>
      <c r="AA2589">
        <v>4.47</v>
      </c>
      <c r="AD2589">
        <v>4.8</v>
      </c>
      <c r="AG2589" t="str">
        <f>HYPERLINK("https://finance.naver.com/item/fchart.naver?code=009415", "태영건설우 차트보기")</f>
        <v>태영건설우 차트보기</v>
      </c>
    </row>
    <row r="2590" spans="1:33" x14ac:dyDescent="0.3">
      <c r="A2590" t="s">
        <v>10371</v>
      </c>
      <c r="B2590" t="s">
        <v>34</v>
      </c>
      <c r="C2590" t="s">
        <v>10372</v>
      </c>
      <c r="D2590">
        <v>0</v>
      </c>
      <c r="E2590" t="s">
        <v>10293</v>
      </c>
      <c r="F2590">
        <v>0</v>
      </c>
      <c r="G2590">
        <v>3.440000057220459</v>
      </c>
      <c r="H2590">
        <v>0</v>
      </c>
      <c r="I2590">
        <v>0</v>
      </c>
      <c r="J2590" t="s">
        <v>10373</v>
      </c>
      <c r="K2590">
        <v>1254</v>
      </c>
      <c r="L2590">
        <v>1254</v>
      </c>
      <c r="M2590">
        <v>0</v>
      </c>
      <c r="N2590">
        <v>0</v>
      </c>
      <c r="O2590">
        <v>0</v>
      </c>
      <c r="P2590">
        <v>0</v>
      </c>
      <c r="Q2590">
        <v>0</v>
      </c>
      <c r="R2590">
        <v>0</v>
      </c>
      <c r="S2590">
        <v>0</v>
      </c>
      <c r="T2590">
        <v>0</v>
      </c>
      <c r="U2590">
        <v>0</v>
      </c>
      <c r="V2590">
        <v>0</v>
      </c>
      <c r="W2590">
        <v>0</v>
      </c>
      <c r="X2590">
        <v>0</v>
      </c>
      <c r="Y2590">
        <v>0</v>
      </c>
      <c r="AG2590" t="str">
        <f>HYPERLINK("https://finance.naver.com/item/fchart.naver?code=005110", "한창 차트보기")</f>
        <v>한창 차트보기</v>
      </c>
    </row>
    <row r="2591" spans="1:33" x14ac:dyDescent="0.3">
      <c r="A2591" t="s">
        <v>10374</v>
      </c>
      <c r="B2591" t="s">
        <v>34</v>
      </c>
      <c r="C2591" t="s">
        <v>10375</v>
      </c>
      <c r="D2591">
        <v>4797141.9000000004</v>
      </c>
      <c r="E2591" t="s">
        <v>10376</v>
      </c>
      <c r="F2591">
        <v>0</v>
      </c>
      <c r="G2591">
        <v>0</v>
      </c>
      <c r="H2591">
        <v>0</v>
      </c>
      <c r="I2591">
        <v>0</v>
      </c>
      <c r="J2591" t="s">
        <v>10377</v>
      </c>
      <c r="K2591">
        <v>35400</v>
      </c>
      <c r="L2591">
        <v>43700</v>
      </c>
      <c r="M2591">
        <v>23.45</v>
      </c>
      <c r="N2591">
        <v>1.51</v>
      </c>
      <c r="O2591">
        <v>24.05</v>
      </c>
      <c r="P2591">
        <v>-5.93</v>
      </c>
      <c r="Q2591">
        <v>0</v>
      </c>
      <c r="R2591">
        <v>0</v>
      </c>
      <c r="S2591">
        <v>0</v>
      </c>
      <c r="T2591">
        <v>5.82</v>
      </c>
      <c r="U2591">
        <v>6.43</v>
      </c>
      <c r="W2591">
        <v>0</v>
      </c>
      <c r="X2591">
        <v>0</v>
      </c>
      <c r="Y2591">
        <v>0</v>
      </c>
      <c r="Z2591">
        <v>0.26</v>
      </c>
      <c r="AA2591">
        <v>3.74</v>
      </c>
      <c r="AG2591" t="str">
        <f>HYPERLINK("https://finance.naver.com/item/fchart.naver?code=489790", "한화인더스트리얼솔루션즈 차트보기")</f>
        <v>한화인더스트리얼솔루션즈 차트보기</v>
      </c>
    </row>
    <row r="2592" spans="1:33" x14ac:dyDescent="0.3">
      <c r="A2592" t="s">
        <v>10378</v>
      </c>
      <c r="B2592" t="s">
        <v>55</v>
      </c>
      <c r="C2592" t="s">
        <v>10379</v>
      </c>
      <c r="D2592">
        <v>0</v>
      </c>
      <c r="E2592" t="s">
        <v>10293</v>
      </c>
      <c r="F2592">
        <v>255</v>
      </c>
      <c r="G2592">
        <v>0.52999997138977051</v>
      </c>
      <c r="H2592">
        <v>11</v>
      </c>
      <c r="I2592">
        <v>0</v>
      </c>
      <c r="J2592" t="s">
        <v>10380</v>
      </c>
      <c r="K2592">
        <v>2805</v>
      </c>
      <c r="L2592">
        <v>2805</v>
      </c>
      <c r="M2592">
        <v>0</v>
      </c>
      <c r="N2592">
        <v>0</v>
      </c>
      <c r="O2592">
        <v>0</v>
      </c>
      <c r="P2592">
        <v>0</v>
      </c>
      <c r="Q2592">
        <v>0</v>
      </c>
      <c r="R2592">
        <v>0</v>
      </c>
      <c r="S2592">
        <v>0</v>
      </c>
      <c r="T2592">
        <v>0</v>
      </c>
      <c r="U2592">
        <v>0</v>
      </c>
      <c r="V2592">
        <v>0</v>
      </c>
      <c r="W2592">
        <v>0</v>
      </c>
      <c r="X2592">
        <v>0</v>
      </c>
      <c r="Y2592">
        <v>0</v>
      </c>
      <c r="AG2592" t="str">
        <f>HYPERLINK("https://finance.naver.com/item/fchart.naver?code=139050", "BF랩스 차트보기")</f>
        <v>BF랩스 차트보기</v>
      </c>
    </row>
    <row r="2593" spans="1:33" x14ac:dyDescent="0.3">
      <c r="A2593" t="s">
        <v>10381</v>
      </c>
      <c r="B2593" t="s">
        <v>55</v>
      </c>
      <c r="C2593" t="s">
        <v>10382</v>
      </c>
      <c r="D2593">
        <v>5125.67</v>
      </c>
      <c r="E2593" t="s">
        <v>10383</v>
      </c>
      <c r="F2593">
        <v>0</v>
      </c>
      <c r="G2593">
        <v>0</v>
      </c>
      <c r="H2593">
        <v>0</v>
      </c>
      <c r="I2593">
        <v>0</v>
      </c>
      <c r="J2593" t="s">
        <v>10384</v>
      </c>
      <c r="K2593">
        <v>2230</v>
      </c>
      <c r="L2593">
        <v>2275</v>
      </c>
      <c r="M2593">
        <v>2.02</v>
      </c>
      <c r="N2593">
        <v>0</v>
      </c>
      <c r="O2593">
        <v>-1.3</v>
      </c>
      <c r="P2593">
        <v>1.77</v>
      </c>
      <c r="Q2593">
        <v>-5.0999999999999996</v>
      </c>
      <c r="R2593">
        <v>2.23</v>
      </c>
      <c r="S2593">
        <v>1.1299999999999999</v>
      </c>
      <c r="T2593">
        <v>0</v>
      </c>
      <c r="U2593">
        <v>0.63</v>
      </c>
      <c r="V2593">
        <v>0.92</v>
      </c>
      <c r="W2593">
        <v>1.64</v>
      </c>
      <c r="X2593">
        <v>1.2</v>
      </c>
      <c r="Y2593">
        <v>1.02</v>
      </c>
      <c r="AA2593">
        <v>2.06</v>
      </c>
      <c r="AB2593">
        <v>1.92</v>
      </c>
      <c r="AC2593">
        <v>3.11</v>
      </c>
      <c r="AD2593">
        <v>1.86</v>
      </c>
      <c r="AE2593">
        <v>1.1100000000000001</v>
      </c>
      <c r="AG2593" t="str">
        <f>HYPERLINK("https://finance.naver.com/item/fchart.naver?code=456440", "DB금융스팩11호 차트보기")</f>
        <v>DB금융스팩11호 차트보기</v>
      </c>
    </row>
    <row r="2594" spans="1:33" x14ac:dyDescent="0.3">
      <c r="A2594" t="s">
        <v>10385</v>
      </c>
      <c r="B2594" t="s">
        <v>55</v>
      </c>
      <c r="C2594" t="s">
        <v>10386</v>
      </c>
      <c r="D2594">
        <v>0</v>
      </c>
      <c r="E2594" t="s">
        <v>10293</v>
      </c>
      <c r="F2594">
        <v>0</v>
      </c>
      <c r="G2594">
        <v>2.2699999809265141</v>
      </c>
      <c r="H2594">
        <v>0</v>
      </c>
      <c r="I2594">
        <v>0</v>
      </c>
      <c r="J2594" t="s">
        <v>10387</v>
      </c>
      <c r="K2594">
        <v>1284</v>
      </c>
      <c r="L2594">
        <v>1284</v>
      </c>
      <c r="M2594">
        <v>0</v>
      </c>
      <c r="N2594">
        <v>0</v>
      </c>
      <c r="O2594">
        <v>0</v>
      </c>
      <c r="P2594">
        <v>0</v>
      </c>
      <c r="Q2594">
        <v>0</v>
      </c>
      <c r="R2594">
        <v>0</v>
      </c>
      <c r="S2594">
        <v>0</v>
      </c>
      <c r="T2594">
        <v>0</v>
      </c>
      <c r="U2594">
        <v>0</v>
      </c>
      <c r="V2594">
        <v>0</v>
      </c>
      <c r="W2594">
        <v>0</v>
      </c>
      <c r="X2594">
        <v>0</v>
      </c>
      <c r="Y2594">
        <v>0</v>
      </c>
      <c r="AG2594" t="str">
        <f>HYPERLINK("https://finance.naver.com/item/fchart.naver?code=099520", "DGI 차트보기")</f>
        <v>DGI 차트보기</v>
      </c>
    </row>
    <row r="2595" spans="1:33" x14ac:dyDescent="0.3">
      <c r="A2595" t="s">
        <v>10388</v>
      </c>
      <c r="B2595" t="s">
        <v>55</v>
      </c>
      <c r="C2595" t="s">
        <v>10389</v>
      </c>
      <c r="D2595">
        <v>2784821.38</v>
      </c>
      <c r="E2595" t="s">
        <v>10390</v>
      </c>
      <c r="F2595">
        <v>47</v>
      </c>
      <c r="G2595">
        <v>0.51999998092651367</v>
      </c>
      <c r="H2595">
        <v>5</v>
      </c>
      <c r="I2595">
        <v>0</v>
      </c>
      <c r="J2595" t="s">
        <v>10391</v>
      </c>
      <c r="K2595">
        <v>456</v>
      </c>
      <c r="L2595">
        <v>235</v>
      </c>
      <c r="M2595">
        <v>-48.46</v>
      </c>
      <c r="N2595">
        <v>0</v>
      </c>
      <c r="O2595">
        <v>0.86</v>
      </c>
      <c r="P2595">
        <v>-3.32</v>
      </c>
      <c r="Q2595">
        <v>-37.799999999999997</v>
      </c>
      <c r="R2595">
        <v>-4.03</v>
      </c>
      <c r="S2595">
        <v>-6.5</v>
      </c>
      <c r="T2595">
        <v>0</v>
      </c>
      <c r="U2595">
        <v>3.36</v>
      </c>
      <c r="V2595">
        <v>1.99</v>
      </c>
      <c r="W2595">
        <v>6.67</v>
      </c>
      <c r="X2595">
        <v>1.34</v>
      </c>
      <c r="Y2595">
        <v>1.6</v>
      </c>
      <c r="AA2595">
        <v>0.26</v>
      </c>
      <c r="AB2595">
        <v>1.67</v>
      </c>
      <c r="AC2595">
        <v>5.67</v>
      </c>
      <c r="AD2595">
        <v>3.01</v>
      </c>
      <c r="AE2595">
        <v>4.0599999999999996</v>
      </c>
      <c r="AG2595" t="str">
        <f>HYPERLINK("https://finance.naver.com/item/fchart.naver?code=025440", "DH오토웨어 차트보기")</f>
        <v>DH오토웨어 차트보기</v>
      </c>
    </row>
    <row r="2596" spans="1:33" x14ac:dyDescent="0.3">
      <c r="A2596" t="s">
        <v>10392</v>
      </c>
      <c r="B2596" t="s">
        <v>55</v>
      </c>
      <c r="C2596" t="s">
        <v>10393</v>
      </c>
      <c r="D2596">
        <v>0</v>
      </c>
      <c r="E2596" t="s">
        <v>10293</v>
      </c>
      <c r="F2596">
        <v>0</v>
      </c>
      <c r="G2596">
        <v>1.279999971389771</v>
      </c>
      <c r="H2596">
        <v>0</v>
      </c>
      <c r="I2596">
        <v>0</v>
      </c>
      <c r="J2596" t="s">
        <v>10394</v>
      </c>
      <c r="K2596">
        <v>415</v>
      </c>
      <c r="L2596">
        <v>415</v>
      </c>
      <c r="M2596">
        <v>0</v>
      </c>
      <c r="N2596">
        <v>0</v>
      </c>
      <c r="O2596">
        <v>0</v>
      </c>
      <c r="P2596">
        <v>0</v>
      </c>
      <c r="Q2596">
        <v>0</v>
      </c>
      <c r="R2596">
        <v>0</v>
      </c>
      <c r="S2596">
        <v>0</v>
      </c>
      <c r="T2596">
        <v>0</v>
      </c>
      <c r="U2596">
        <v>0</v>
      </c>
      <c r="V2596">
        <v>0</v>
      </c>
      <c r="W2596">
        <v>0</v>
      </c>
      <c r="X2596">
        <v>0</v>
      </c>
      <c r="Y2596">
        <v>0</v>
      </c>
      <c r="AG2596" t="str">
        <f>HYPERLINK("https://finance.naver.com/item/fchart.naver?code=245620", "EDGC 차트보기")</f>
        <v>EDGC 차트보기</v>
      </c>
    </row>
    <row r="2597" spans="1:33" x14ac:dyDescent="0.3">
      <c r="A2597" t="s">
        <v>10395</v>
      </c>
      <c r="B2597" t="s">
        <v>55</v>
      </c>
      <c r="C2597" t="s">
        <v>10396</v>
      </c>
      <c r="D2597">
        <v>0</v>
      </c>
      <c r="E2597" t="s">
        <v>10293</v>
      </c>
      <c r="F2597">
        <v>0</v>
      </c>
      <c r="G2597">
        <v>0</v>
      </c>
      <c r="H2597">
        <v>0</v>
      </c>
      <c r="I2597">
        <v>0</v>
      </c>
      <c r="J2597" t="s">
        <v>10397</v>
      </c>
      <c r="K2597">
        <v>2260</v>
      </c>
      <c r="L2597">
        <v>2640</v>
      </c>
      <c r="M2597">
        <v>16.809999999999999</v>
      </c>
      <c r="N2597">
        <v>0</v>
      </c>
      <c r="O2597">
        <v>0</v>
      </c>
      <c r="P2597">
        <v>0</v>
      </c>
      <c r="Q2597">
        <v>0</v>
      </c>
      <c r="R2597">
        <v>5.6</v>
      </c>
      <c r="S2597">
        <v>19.46</v>
      </c>
      <c r="T2597">
        <v>0</v>
      </c>
      <c r="U2597">
        <v>0</v>
      </c>
      <c r="V2597">
        <v>0</v>
      </c>
      <c r="W2597">
        <v>0</v>
      </c>
      <c r="X2597">
        <v>1.59</v>
      </c>
      <c r="Y2597">
        <v>1.9</v>
      </c>
      <c r="AD2597">
        <v>3.52</v>
      </c>
      <c r="AE2597">
        <v>10.24</v>
      </c>
      <c r="AG2597" t="str">
        <f>HYPERLINK("https://finance.naver.com/item/fchart.naver?code=455250", "KB제25호스팩 차트보기")</f>
        <v>KB제25호스팩 차트보기</v>
      </c>
    </row>
    <row r="2598" spans="1:33" x14ac:dyDescent="0.3">
      <c r="A2598" t="s">
        <v>10398</v>
      </c>
      <c r="B2598" t="s">
        <v>55</v>
      </c>
      <c r="C2598" t="s">
        <v>10399</v>
      </c>
      <c r="D2598">
        <v>34062.29</v>
      </c>
      <c r="E2598" t="s">
        <v>10400</v>
      </c>
      <c r="F2598">
        <v>0</v>
      </c>
      <c r="G2598">
        <v>0</v>
      </c>
      <c r="H2598">
        <v>0</v>
      </c>
      <c r="I2598">
        <v>0</v>
      </c>
      <c r="J2598" t="s">
        <v>10401</v>
      </c>
      <c r="K2598">
        <v>2485</v>
      </c>
      <c r="L2598">
        <v>2350</v>
      </c>
      <c r="M2598">
        <v>-5.43</v>
      </c>
      <c r="N2598">
        <v>3.07</v>
      </c>
      <c r="O2598">
        <v>6.31</v>
      </c>
      <c r="P2598">
        <v>-13.68</v>
      </c>
      <c r="Q2598">
        <v>0</v>
      </c>
      <c r="R2598">
        <v>0</v>
      </c>
      <c r="S2598">
        <v>0</v>
      </c>
      <c r="T2598">
        <v>0.54</v>
      </c>
      <c r="U2598">
        <v>1.2</v>
      </c>
      <c r="V2598">
        <v>4.16</v>
      </c>
      <c r="W2598">
        <v>0</v>
      </c>
      <c r="X2598">
        <v>0</v>
      </c>
      <c r="Y2598">
        <v>0</v>
      </c>
      <c r="Z2598">
        <v>5.69</v>
      </c>
      <c r="AA2598">
        <v>5.26</v>
      </c>
      <c r="AB2598">
        <v>3.29</v>
      </c>
      <c r="AG2598" t="str">
        <f>HYPERLINK("https://finance.naver.com/item/fchart.naver?code=458320", "KB제26호스팩 차트보기")</f>
        <v>KB제26호스팩 차트보기</v>
      </c>
    </row>
    <row r="2599" spans="1:33" x14ac:dyDescent="0.3">
      <c r="A2599" t="s">
        <v>10402</v>
      </c>
      <c r="B2599" t="s">
        <v>55</v>
      </c>
      <c r="C2599" t="s">
        <v>10403</v>
      </c>
      <c r="D2599">
        <v>3207.52</v>
      </c>
      <c r="E2599" t="s">
        <v>10404</v>
      </c>
      <c r="F2599">
        <v>0</v>
      </c>
      <c r="G2599">
        <v>0</v>
      </c>
      <c r="H2599">
        <v>0</v>
      </c>
      <c r="I2599">
        <v>0</v>
      </c>
      <c r="J2599" t="s">
        <v>10405</v>
      </c>
      <c r="K2599">
        <v>2030</v>
      </c>
      <c r="L2599">
        <v>2095</v>
      </c>
      <c r="M2599">
        <v>3.2</v>
      </c>
      <c r="N2599">
        <v>0</v>
      </c>
      <c r="O2599">
        <v>-0.71</v>
      </c>
      <c r="P2599">
        <v>-1.17</v>
      </c>
      <c r="Q2599">
        <v>-3.87</v>
      </c>
      <c r="R2599">
        <v>4.53</v>
      </c>
      <c r="S2599">
        <v>0.48</v>
      </c>
      <c r="T2599">
        <v>0</v>
      </c>
      <c r="U2599">
        <v>0.61</v>
      </c>
      <c r="V2599">
        <v>0.78</v>
      </c>
      <c r="W2599">
        <v>0.97</v>
      </c>
      <c r="X2599">
        <v>0.82</v>
      </c>
      <c r="Y2599">
        <v>0.35</v>
      </c>
      <c r="AA2599">
        <v>1.1599999999999999</v>
      </c>
      <c r="AB2599">
        <v>1.5</v>
      </c>
      <c r="AC2599">
        <v>3.99</v>
      </c>
      <c r="AD2599">
        <v>5.52</v>
      </c>
      <c r="AE2599">
        <v>1.37</v>
      </c>
      <c r="AG2599" t="str">
        <f>HYPERLINK("https://finance.naver.com/item/fchart.naver?code=476470", "KB제28호스팩 차트보기")</f>
        <v>KB제28호스팩 차트보기</v>
      </c>
    </row>
    <row r="2600" spans="1:33" x14ac:dyDescent="0.3">
      <c r="A2600" t="s">
        <v>10406</v>
      </c>
      <c r="B2600" t="s">
        <v>55</v>
      </c>
      <c r="C2600" t="s">
        <v>10407</v>
      </c>
      <c r="D2600">
        <v>55536.52</v>
      </c>
      <c r="E2600" t="s">
        <v>10408</v>
      </c>
      <c r="F2600">
        <v>0</v>
      </c>
      <c r="G2600">
        <v>0</v>
      </c>
      <c r="H2600">
        <v>0</v>
      </c>
      <c r="I2600">
        <v>0</v>
      </c>
      <c r="J2600" t="s">
        <v>10409</v>
      </c>
      <c r="K2600">
        <v>2005</v>
      </c>
      <c r="L2600">
        <v>2060</v>
      </c>
      <c r="M2600">
        <v>2.74</v>
      </c>
      <c r="N2600">
        <v>1.23</v>
      </c>
      <c r="O2600">
        <v>0.75</v>
      </c>
      <c r="P2600">
        <v>0</v>
      </c>
      <c r="Q2600">
        <v>0</v>
      </c>
      <c r="R2600">
        <v>0</v>
      </c>
      <c r="S2600">
        <v>0</v>
      </c>
      <c r="T2600">
        <v>0.26</v>
      </c>
      <c r="U2600">
        <v>0.25</v>
      </c>
      <c r="V2600">
        <v>0.66</v>
      </c>
      <c r="W2600">
        <v>0</v>
      </c>
      <c r="X2600">
        <v>0</v>
      </c>
      <c r="Y2600">
        <v>0</v>
      </c>
      <c r="Z2600">
        <v>4.7300000000000004</v>
      </c>
      <c r="AA2600">
        <v>3</v>
      </c>
      <c r="AB2600">
        <v>0</v>
      </c>
      <c r="AG2600" t="str">
        <f>HYPERLINK("https://finance.naver.com/item/fchart.naver?code=486630", "KB제30호스팩 차트보기")</f>
        <v>KB제30호스팩 차트보기</v>
      </c>
    </row>
    <row r="2601" spans="1:33" x14ac:dyDescent="0.3">
      <c r="A2601" t="s">
        <v>10410</v>
      </c>
      <c r="B2601" t="s">
        <v>55</v>
      </c>
      <c r="C2601" t="s">
        <v>10411</v>
      </c>
      <c r="D2601">
        <v>0</v>
      </c>
      <c r="E2601" t="s">
        <v>10293</v>
      </c>
      <c r="F2601">
        <v>0</v>
      </c>
      <c r="G2601">
        <v>0.44999998807907099</v>
      </c>
      <c r="H2601">
        <v>0</v>
      </c>
      <c r="I2601">
        <v>0</v>
      </c>
      <c r="J2601" t="s">
        <v>10412</v>
      </c>
      <c r="K2601">
        <v>2555</v>
      </c>
      <c r="L2601">
        <v>2555</v>
      </c>
      <c r="M2601">
        <v>0</v>
      </c>
      <c r="N2601">
        <v>0</v>
      </c>
      <c r="O2601">
        <v>0</v>
      </c>
      <c r="P2601">
        <v>0</v>
      </c>
      <c r="Q2601">
        <v>0</v>
      </c>
      <c r="R2601">
        <v>0</v>
      </c>
      <c r="S2601">
        <v>0</v>
      </c>
      <c r="T2601">
        <v>0</v>
      </c>
      <c r="U2601">
        <v>0</v>
      </c>
      <c r="V2601">
        <v>0</v>
      </c>
      <c r="W2601">
        <v>0</v>
      </c>
      <c r="X2601">
        <v>0</v>
      </c>
      <c r="Y2601">
        <v>0</v>
      </c>
      <c r="AG2601" t="str">
        <f>HYPERLINK("https://finance.naver.com/item/fchart.naver?code=226360", "KH 건설 차트보기")</f>
        <v>KH 건설 차트보기</v>
      </c>
    </row>
    <row r="2602" spans="1:33" x14ac:dyDescent="0.3">
      <c r="A2602" t="s">
        <v>10413</v>
      </c>
      <c r="B2602" t="s">
        <v>55</v>
      </c>
      <c r="C2602" t="s">
        <v>10414</v>
      </c>
      <c r="D2602">
        <v>0</v>
      </c>
      <c r="E2602" t="s">
        <v>10293</v>
      </c>
      <c r="F2602">
        <v>1.78</v>
      </c>
      <c r="G2602">
        <v>0.38999998569488531</v>
      </c>
      <c r="H2602">
        <v>4998</v>
      </c>
      <c r="I2602">
        <v>0</v>
      </c>
      <c r="J2602" t="s">
        <v>10415</v>
      </c>
      <c r="K2602">
        <v>8910</v>
      </c>
      <c r="L2602">
        <v>8910</v>
      </c>
      <c r="M2602">
        <v>0</v>
      </c>
      <c r="N2602">
        <v>0</v>
      </c>
      <c r="O2602">
        <v>0</v>
      </c>
      <c r="P2602">
        <v>0</v>
      </c>
      <c r="Q2602">
        <v>0</v>
      </c>
      <c r="R2602">
        <v>0</v>
      </c>
      <c r="S2602">
        <v>0</v>
      </c>
      <c r="T2602">
        <v>0</v>
      </c>
      <c r="U2602">
        <v>0</v>
      </c>
      <c r="V2602">
        <v>0</v>
      </c>
      <c r="W2602">
        <v>0</v>
      </c>
      <c r="X2602">
        <v>0</v>
      </c>
      <c r="Y2602">
        <v>0</v>
      </c>
      <c r="AG2602" t="str">
        <f>HYPERLINK("https://finance.naver.com/item/fchart.naver?code=111870", "KH 미래물산 차트보기")</f>
        <v>KH 미래물산 차트보기</v>
      </c>
    </row>
    <row r="2603" spans="1:33" x14ac:dyDescent="0.3">
      <c r="A2603" t="s">
        <v>10416</v>
      </c>
      <c r="B2603" t="s">
        <v>55</v>
      </c>
      <c r="C2603" t="s">
        <v>10417</v>
      </c>
      <c r="D2603">
        <v>169980.81</v>
      </c>
      <c r="E2603" t="s">
        <v>10418</v>
      </c>
      <c r="F2603">
        <v>10.98</v>
      </c>
      <c r="G2603">
        <v>3.3299999237060551</v>
      </c>
      <c r="H2603">
        <v>1094</v>
      </c>
      <c r="I2603">
        <v>0</v>
      </c>
      <c r="J2603" t="s">
        <v>10419</v>
      </c>
      <c r="K2603">
        <v>22300</v>
      </c>
      <c r="L2603">
        <v>12010</v>
      </c>
      <c r="M2603">
        <v>-46.14</v>
      </c>
      <c r="N2603">
        <v>-3.15</v>
      </c>
      <c r="O2603">
        <v>-19.13</v>
      </c>
      <c r="P2603">
        <v>-39.18</v>
      </c>
      <c r="Q2603">
        <v>23.54</v>
      </c>
      <c r="R2603">
        <v>0</v>
      </c>
      <c r="S2603">
        <v>0</v>
      </c>
      <c r="T2603">
        <v>4.9000000000000004</v>
      </c>
      <c r="U2603">
        <v>2.67</v>
      </c>
      <c r="V2603">
        <v>4.74</v>
      </c>
      <c r="W2603">
        <v>17.21</v>
      </c>
      <c r="X2603">
        <v>0</v>
      </c>
      <c r="Y2603">
        <v>0</v>
      </c>
      <c r="Z2603">
        <v>0.64</v>
      </c>
      <c r="AA2603">
        <v>7.16</v>
      </c>
      <c r="AB2603">
        <v>8.27</v>
      </c>
      <c r="AC2603">
        <v>1.37</v>
      </c>
      <c r="AG2603" t="str">
        <f>HYPERLINK("https://finance.naver.com/item/fchart.naver?code=476080", "M83 차트보기")</f>
        <v>M83 차트보기</v>
      </c>
    </row>
    <row r="2604" spans="1:33" x14ac:dyDescent="0.3">
      <c r="A2604" t="s">
        <v>10420</v>
      </c>
      <c r="B2604" t="s">
        <v>55</v>
      </c>
      <c r="C2604" t="s">
        <v>10421</v>
      </c>
      <c r="D2604">
        <v>0</v>
      </c>
      <c r="E2604" t="s">
        <v>10293</v>
      </c>
      <c r="F2604">
        <v>0</v>
      </c>
      <c r="G2604">
        <v>2.3499999046325679</v>
      </c>
      <c r="H2604">
        <v>0</v>
      </c>
      <c r="I2604">
        <v>0</v>
      </c>
      <c r="J2604" t="s">
        <v>10422</v>
      </c>
      <c r="K2604">
        <v>1233</v>
      </c>
      <c r="L2604">
        <v>1233</v>
      </c>
      <c r="M2604">
        <v>0</v>
      </c>
      <c r="N2604">
        <v>0</v>
      </c>
      <c r="O2604">
        <v>0</v>
      </c>
      <c r="P2604">
        <v>0</v>
      </c>
      <c r="Q2604">
        <v>0</v>
      </c>
      <c r="R2604">
        <v>0</v>
      </c>
      <c r="S2604">
        <v>0</v>
      </c>
      <c r="T2604">
        <v>0</v>
      </c>
      <c r="U2604">
        <v>0</v>
      </c>
      <c r="V2604">
        <v>0</v>
      </c>
      <c r="W2604">
        <v>0</v>
      </c>
      <c r="X2604">
        <v>0</v>
      </c>
      <c r="Y2604">
        <v>0</v>
      </c>
      <c r="AG2604" t="str">
        <f>HYPERLINK("https://finance.naver.com/item/fchart.naver?code=038340", "MIT 차트보기")</f>
        <v>MIT 차트보기</v>
      </c>
    </row>
    <row r="2605" spans="1:33" x14ac:dyDescent="0.3">
      <c r="A2605" t="s">
        <v>10423</v>
      </c>
      <c r="B2605" t="s">
        <v>55</v>
      </c>
      <c r="C2605" t="s">
        <v>10424</v>
      </c>
      <c r="D2605">
        <v>0</v>
      </c>
      <c r="E2605" t="s">
        <v>10293</v>
      </c>
      <c r="F2605">
        <v>0</v>
      </c>
      <c r="G2605">
        <v>3.380000114440918</v>
      </c>
      <c r="H2605">
        <v>0</v>
      </c>
      <c r="I2605">
        <v>0</v>
      </c>
      <c r="J2605" t="s">
        <v>10425</v>
      </c>
      <c r="K2605">
        <v>8040</v>
      </c>
      <c r="L2605">
        <v>8040</v>
      </c>
      <c r="M2605">
        <v>0</v>
      </c>
      <c r="N2605">
        <v>0</v>
      </c>
      <c r="O2605">
        <v>0</v>
      </c>
      <c r="P2605">
        <v>0</v>
      </c>
      <c r="Q2605">
        <v>0</v>
      </c>
      <c r="R2605">
        <v>0</v>
      </c>
      <c r="S2605">
        <v>0</v>
      </c>
      <c r="T2605">
        <v>0</v>
      </c>
      <c r="U2605">
        <v>0</v>
      </c>
      <c r="V2605">
        <v>0</v>
      </c>
      <c r="W2605">
        <v>0</v>
      </c>
      <c r="X2605">
        <v>0</v>
      </c>
      <c r="Y2605">
        <v>0</v>
      </c>
      <c r="AG2605" t="str">
        <f>HYPERLINK("https://finance.naver.com/item/fchart.naver?code=222160", "NPX 차트보기")</f>
        <v>NPX 차트보기</v>
      </c>
    </row>
    <row r="2606" spans="1:33" x14ac:dyDescent="0.3">
      <c r="A2606" t="s">
        <v>10426</v>
      </c>
      <c r="B2606" t="s">
        <v>55</v>
      </c>
      <c r="C2606" t="s">
        <v>10427</v>
      </c>
      <c r="D2606">
        <v>1268763.6200000001</v>
      </c>
      <c r="E2606" t="s">
        <v>10428</v>
      </c>
      <c r="F2606">
        <v>0</v>
      </c>
      <c r="G2606">
        <v>0.49000000953674322</v>
      </c>
      <c r="H2606">
        <v>0</v>
      </c>
      <c r="I2606">
        <v>0</v>
      </c>
      <c r="J2606" t="s">
        <v>10429</v>
      </c>
      <c r="K2606">
        <v>490</v>
      </c>
      <c r="L2606">
        <v>315</v>
      </c>
      <c r="M2606">
        <v>-35.71</v>
      </c>
      <c r="N2606">
        <v>5.35</v>
      </c>
      <c r="O2606">
        <v>-15</v>
      </c>
      <c r="P2606">
        <v>-7.25</v>
      </c>
      <c r="Q2606">
        <v>-17.760000000000002</v>
      </c>
      <c r="R2606">
        <v>0</v>
      </c>
      <c r="S2606">
        <v>0</v>
      </c>
      <c r="T2606">
        <v>2.42</v>
      </c>
      <c r="U2606">
        <v>3.74</v>
      </c>
      <c r="V2606">
        <v>2.88</v>
      </c>
      <c r="W2606">
        <v>3.99</v>
      </c>
      <c r="X2606">
        <v>0</v>
      </c>
      <c r="Y2606">
        <v>0</v>
      </c>
      <c r="Z2606">
        <v>2.21</v>
      </c>
      <c r="AA2606">
        <v>4.01</v>
      </c>
      <c r="AB2606">
        <v>2.52</v>
      </c>
      <c r="AC2606">
        <v>4.45</v>
      </c>
      <c r="AG2606" t="str">
        <f>HYPERLINK("https://finance.naver.com/item/fchart.naver?code=049470", "SGA 차트보기")</f>
        <v>SGA 차트보기</v>
      </c>
    </row>
    <row r="2607" spans="1:33" x14ac:dyDescent="0.3">
      <c r="A2607" t="s">
        <v>10430</v>
      </c>
      <c r="B2607" t="s">
        <v>55</v>
      </c>
      <c r="C2607" t="s">
        <v>10431</v>
      </c>
      <c r="D2607">
        <v>0</v>
      </c>
      <c r="E2607" t="s">
        <v>10293</v>
      </c>
      <c r="F2607">
        <v>0</v>
      </c>
      <c r="G2607">
        <v>1.0099999904632571</v>
      </c>
      <c r="H2607">
        <v>0</v>
      </c>
      <c r="I2607">
        <v>0</v>
      </c>
      <c r="J2607" t="s">
        <v>10432</v>
      </c>
      <c r="K2607">
        <v>319</v>
      </c>
      <c r="L2607">
        <v>279</v>
      </c>
      <c r="M2607">
        <v>-12.54</v>
      </c>
      <c r="N2607">
        <v>0</v>
      </c>
      <c r="O2607">
        <v>0</v>
      </c>
      <c r="P2607">
        <v>-11.15</v>
      </c>
      <c r="Q2607">
        <v>0</v>
      </c>
      <c r="R2607">
        <v>0</v>
      </c>
      <c r="S2607">
        <v>-27.17</v>
      </c>
      <c r="T2607">
        <v>0</v>
      </c>
      <c r="U2607">
        <v>0</v>
      </c>
      <c r="V2607">
        <v>3.7</v>
      </c>
      <c r="W2607">
        <v>0</v>
      </c>
      <c r="X2607">
        <v>0.2</v>
      </c>
      <c r="Y2607">
        <v>5.63</v>
      </c>
      <c r="AB2607">
        <v>3.01</v>
      </c>
      <c r="AD2607">
        <v>0</v>
      </c>
      <c r="AE2607">
        <v>4.83</v>
      </c>
      <c r="AG2607" t="str">
        <f>HYPERLINK("https://finance.naver.com/item/fchart.naver?code=317240", "TS트릴리온 차트보기")</f>
        <v>TS트릴리온 차트보기</v>
      </c>
    </row>
    <row r="2608" spans="1:33" x14ac:dyDescent="0.3">
      <c r="A2608" t="s">
        <v>10433</v>
      </c>
      <c r="B2608" t="s">
        <v>55</v>
      </c>
      <c r="C2608" t="s">
        <v>10434</v>
      </c>
      <c r="D2608">
        <v>0</v>
      </c>
      <c r="E2608" t="s">
        <v>10293</v>
      </c>
      <c r="J2608" t="s">
        <v>10435</v>
      </c>
      <c r="K2608">
        <v>97</v>
      </c>
      <c r="L2608">
        <v>97</v>
      </c>
      <c r="M2608">
        <v>0</v>
      </c>
      <c r="N2608">
        <v>0</v>
      </c>
      <c r="O2608">
        <v>0</v>
      </c>
      <c r="P2608">
        <v>0</v>
      </c>
      <c r="Q2608">
        <v>0</v>
      </c>
      <c r="R2608">
        <v>0</v>
      </c>
      <c r="S2608">
        <v>0</v>
      </c>
      <c r="T2608">
        <v>0</v>
      </c>
      <c r="U2608">
        <v>0</v>
      </c>
      <c r="V2608">
        <v>0</v>
      </c>
      <c r="W2608">
        <v>0</v>
      </c>
      <c r="X2608">
        <v>0</v>
      </c>
      <c r="Y2608">
        <v>0</v>
      </c>
      <c r="AG2608" t="str">
        <f>HYPERLINK("https://finance.naver.com/item/fchart.naver?code=900280", "골든센츄리 차트보기")</f>
        <v>골든센츄리 차트보기</v>
      </c>
    </row>
    <row r="2609" spans="1:33" x14ac:dyDescent="0.3">
      <c r="A2609" t="s">
        <v>10436</v>
      </c>
      <c r="B2609" t="s">
        <v>55</v>
      </c>
      <c r="C2609" t="s">
        <v>10437</v>
      </c>
      <c r="D2609">
        <v>0</v>
      </c>
      <c r="E2609" t="s">
        <v>10293</v>
      </c>
      <c r="F2609">
        <v>4.96</v>
      </c>
      <c r="G2609">
        <v>0.55000001192092896</v>
      </c>
      <c r="H2609">
        <v>6094</v>
      </c>
      <c r="I2609">
        <v>0</v>
      </c>
      <c r="J2609" t="s">
        <v>10438</v>
      </c>
      <c r="K2609">
        <v>30200</v>
      </c>
      <c r="L2609">
        <v>30200</v>
      </c>
      <c r="M2609">
        <v>0</v>
      </c>
      <c r="N2609">
        <v>0</v>
      </c>
      <c r="O2609">
        <v>0</v>
      </c>
      <c r="P2609">
        <v>0</v>
      </c>
      <c r="Q2609">
        <v>0</v>
      </c>
      <c r="R2609">
        <v>0</v>
      </c>
      <c r="S2609">
        <v>0</v>
      </c>
      <c r="T2609">
        <v>0</v>
      </c>
      <c r="U2609">
        <v>0</v>
      </c>
      <c r="V2609">
        <v>0</v>
      </c>
      <c r="W2609">
        <v>0</v>
      </c>
      <c r="X2609">
        <v>0</v>
      </c>
      <c r="Y2609">
        <v>0</v>
      </c>
      <c r="AG2609" t="str">
        <f>HYPERLINK("https://finance.naver.com/item/fchart.naver?code=014200", "광림 차트보기")</f>
        <v>광림 차트보기</v>
      </c>
    </row>
    <row r="2610" spans="1:33" x14ac:dyDescent="0.3">
      <c r="A2610" t="s">
        <v>10439</v>
      </c>
      <c r="B2610" t="s">
        <v>55</v>
      </c>
      <c r="C2610" t="s">
        <v>10440</v>
      </c>
      <c r="D2610">
        <v>67887.710000000006</v>
      </c>
      <c r="E2610" t="s">
        <v>10441</v>
      </c>
      <c r="F2610">
        <v>0</v>
      </c>
      <c r="G2610">
        <v>0</v>
      </c>
      <c r="H2610">
        <v>0</v>
      </c>
      <c r="I2610">
        <v>0</v>
      </c>
      <c r="J2610" t="s">
        <v>10442</v>
      </c>
      <c r="K2610">
        <v>2665</v>
      </c>
      <c r="L2610">
        <v>2710</v>
      </c>
      <c r="M2610">
        <v>1.69</v>
      </c>
      <c r="N2610">
        <v>0</v>
      </c>
      <c r="O2610">
        <v>13.39</v>
      </c>
      <c r="P2610">
        <v>3.83</v>
      </c>
      <c r="Q2610">
        <v>-8.51</v>
      </c>
      <c r="R2610">
        <v>-22.8</v>
      </c>
      <c r="S2610">
        <v>16.89</v>
      </c>
      <c r="T2610">
        <v>0</v>
      </c>
      <c r="U2610">
        <v>2.34</v>
      </c>
      <c r="V2610">
        <v>1.5</v>
      </c>
      <c r="W2610">
        <v>3.63</v>
      </c>
      <c r="X2610">
        <v>3.85</v>
      </c>
      <c r="Y2610">
        <v>4.29</v>
      </c>
      <c r="AA2610">
        <v>5.72</v>
      </c>
      <c r="AB2610">
        <v>2.5499999999999998</v>
      </c>
      <c r="AC2610">
        <v>2.34</v>
      </c>
      <c r="AD2610">
        <v>5.92</v>
      </c>
      <c r="AE2610">
        <v>3.94</v>
      </c>
      <c r="AG2610" t="str">
        <f>HYPERLINK("https://finance.naver.com/item/fchart.naver?code=421800", "교보12호스팩 차트보기")</f>
        <v>교보12호스팩 차트보기</v>
      </c>
    </row>
    <row r="2611" spans="1:33" x14ac:dyDescent="0.3">
      <c r="A2611" t="s">
        <v>10443</v>
      </c>
      <c r="B2611" t="s">
        <v>55</v>
      </c>
      <c r="C2611" t="s">
        <v>10444</v>
      </c>
      <c r="D2611">
        <v>24956.9</v>
      </c>
      <c r="E2611" t="s">
        <v>10445</v>
      </c>
      <c r="F2611">
        <v>0</v>
      </c>
      <c r="G2611">
        <v>0</v>
      </c>
      <c r="H2611">
        <v>0</v>
      </c>
      <c r="I2611">
        <v>0</v>
      </c>
      <c r="J2611" t="s">
        <v>10446</v>
      </c>
      <c r="K2611">
        <v>2060</v>
      </c>
      <c r="L2611">
        <v>2050</v>
      </c>
      <c r="M2611">
        <v>-0.49</v>
      </c>
      <c r="N2611">
        <v>0.24</v>
      </c>
      <c r="O2611">
        <v>0.49</v>
      </c>
      <c r="P2611">
        <v>-0.24</v>
      </c>
      <c r="Q2611">
        <v>-0.73</v>
      </c>
      <c r="R2611">
        <v>0</v>
      </c>
      <c r="S2611">
        <v>0</v>
      </c>
      <c r="T2611">
        <v>0.39</v>
      </c>
      <c r="U2611">
        <v>0.21</v>
      </c>
      <c r="V2611">
        <v>0.28000000000000003</v>
      </c>
      <c r="W2611">
        <v>0.18</v>
      </c>
      <c r="X2611">
        <v>0</v>
      </c>
      <c r="Y2611">
        <v>0</v>
      </c>
      <c r="Z2611">
        <v>0.62</v>
      </c>
      <c r="AA2611">
        <v>2.33</v>
      </c>
      <c r="AB2611">
        <v>0.86</v>
      </c>
      <c r="AC2611">
        <v>4.0599999999999996</v>
      </c>
      <c r="AG2611" t="str">
        <f>HYPERLINK("https://finance.naver.com/item/fchart.naver?code=482520", "교보16호스팩 차트보기")</f>
        <v>교보16호스팩 차트보기</v>
      </c>
    </row>
    <row r="2612" spans="1:33" x14ac:dyDescent="0.3">
      <c r="A2612" t="s">
        <v>10447</v>
      </c>
      <c r="B2612" t="s">
        <v>55</v>
      </c>
      <c r="C2612" t="s">
        <v>10448</v>
      </c>
      <c r="D2612">
        <v>0</v>
      </c>
      <c r="E2612" t="s">
        <v>10293</v>
      </c>
      <c r="F2612">
        <v>0</v>
      </c>
      <c r="G2612">
        <v>0.75999999046325684</v>
      </c>
      <c r="H2612">
        <v>0</v>
      </c>
      <c r="I2612">
        <v>0</v>
      </c>
      <c r="J2612" t="s">
        <v>10449</v>
      </c>
      <c r="K2612">
        <v>800</v>
      </c>
      <c r="L2612">
        <v>800</v>
      </c>
      <c r="M2612">
        <v>0</v>
      </c>
      <c r="N2612">
        <v>0</v>
      </c>
      <c r="O2612">
        <v>0</v>
      </c>
      <c r="P2612">
        <v>0</v>
      </c>
      <c r="Q2612">
        <v>0</v>
      </c>
      <c r="R2612">
        <v>0</v>
      </c>
      <c r="S2612">
        <v>0</v>
      </c>
      <c r="T2612">
        <v>0</v>
      </c>
      <c r="U2612">
        <v>0</v>
      </c>
      <c r="V2612">
        <v>0</v>
      </c>
      <c r="W2612">
        <v>0</v>
      </c>
      <c r="X2612">
        <v>0</v>
      </c>
      <c r="Y2612">
        <v>0</v>
      </c>
      <c r="AG2612" t="str">
        <f>HYPERLINK("https://finance.naver.com/item/fchart.naver?code=078130", "국일제지 차트보기")</f>
        <v>국일제지 차트보기</v>
      </c>
    </row>
    <row r="2613" spans="1:33" x14ac:dyDescent="0.3">
      <c r="A2613" t="s">
        <v>10450</v>
      </c>
      <c r="B2613" t="s">
        <v>55</v>
      </c>
      <c r="C2613" t="s">
        <v>10451</v>
      </c>
      <c r="D2613">
        <v>0</v>
      </c>
      <c r="E2613" t="s">
        <v>10293</v>
      </c>
      <c r="F2613">
        <v>0</v>
      </c>
      <c r="G2613">
        <v>3.809999942779541</v>
      </c>
      <c r="H2613">
        <v>0</v>
      </c>
      <c r="I2613">
        <v>0</v>
      </c>
      <c r="J2613" t="s">
        <v>10452</v>
      </c>
      <c r="K2613">
        <v>1025</v>
      </c>
      <c r="L2613">
        <v>1025</v>
      </c>
      <c r="M2613">
        <v>0</v>
      </c>
      <c r="N2613">
        <v>0</v>
      </c>
      <c r="O2613">
        <v>0</v>
      </c>
      <c r="P2613">
        <v>0</v>
      </c>
      <c r="Q2613">
        <v>0</v>
      </c>
      <c r="R2613">
        <v>0</v>
      </c>
      <c r="S2613">
        <v>0</v>
      </c>
      <c r="T2613">
        <v>0</v>
      </c>
      <c r="U2613">
        <v>0</v>
      </c>
      <c r="V2613">
        <v>0</v>
      </c>
      <c r="W2613">
        <v>0</v>
      </c>
      <c r="X2613">
        <v>0</v>
      </c>
      <c r="Y2613">
        <v>0</v>
      </c>
      <c r="AG2613" t="str">
        <f>HYPERLINK("https://finance.naver.com/item/fchart.naver?code=187790", "나노 차트보기")</f>
        <v>나노 차트보기</v>
      </c>
    </row>
    <row r="2614" spans="1:33" x14ac:dyDescent="0.3">
      <c r="A2614" t="s">
        <v>10453</v>
      </c>
      <c r="B2614" t="s">
        <v>55</v>
      </c>
      <c r="C2614" t="s">
        <v>10454</v>
      </c>
      <c r="D2614">
        <v>419283.14</v>
      </c>
      <c r="E2614" t="s">
        <v>10455</v>
      </c>
      <c r="F2614">
        <v>0</v>
      </c>
      <c r="G2614">
        <v>0</v>
      </c>
      <c r="H2614">
        <v>0</v>
      </c>
      <c r="I2614">
        <v>0</v>
      </c>
      <c r="J2614" t="s">
        <v>10456</v>
      </c>
      <c r="K2614">
        <v>23700</v>
      </c>
      <c r="L2614">
        <v>31550</v>
      </c>
      <c r="M2614">
        <v>33.119999999999997</v>
      </c>
      <c r="N2614">
        <v>2.77</v>
      </c>
      <c r="O2614">
        <v>-15.94</v>
      </c>
      <c r="P2614">
        <v>2.6</v>
      </c>
      <c r="Q2614">
        <v>50.63</v>
      </c>
      <c r="R2614">
        <v>0</v>
      </c>
      <c r="S2614">
        <v>0</v>
      </c>
      <c r="T2614">
        <v>5.98</v>
      </c>
      <c r="U2614">
        <v>4.2</v>
      </c>
      <c r="V2614">
        <v>9.41</v>
      </c>
      <c r="W2614">
        <v>11.32</v>
      </c>
      <c r="X2614">
        <v>0</v>
      </c>
      <c r="Y2614">
        <v>0</v>
      </c>
      <c r="Z2614">
        <v>0.46</v>
      </c>
      <c r="AA2614">
        <v>3.8</v>
      </c>
      <c r="AB2614">
        <v>0.28000000000000003</v>
      </c>
      <c r="AC2614">
        <v>4.47</v>
      </c>
      <c r="AG2614" t="str">
        <f>HYPERLINK("https://finance.naver.com/item/fchart.naver?code=389650", "넥스트바이오메디컬 차트보기")</f>
        <v>넥스트바이오메디컬 차트보기</v>
      </c>
    </row>
    <row r="2615" spans="1:33" x14ac:dyDescent="0.3">
      <c r="A2615" t="s">
        <v>10457</v>
      </c>
      <c r="B2615" t="s">
        <v>55</v>
      </c>
      <c r="C2615" t="s">
        <v>10458</v>
      </c>
      <c r="D2615">
        <v>0</v>
      </c>
      <c r="E2615" t="s">
        <v>10293</v>
      </c>
      <c r="F2615">
        <v>0</v>
      </c>
      <c r="G2615">
        <v>0.28999999165534968</v>
      </c>
      <c r="H2615">
        <v>0</v>
      </c>
      <c r="I2615">
        <v>0</v>
      </c>
      <c r="J2615" t="s">
        <v>10459</v>
      </c>
      <c r="K2615">
        <v>411</v>
      </c>
      <c r="L2615">
        <v>411</v>
      </c>
      <c r="M2615">
        <v>0</v>
      </c>
      <c r="N2615">
        <v>0</v>
      </c>
      <c r="O2615">
        <v>0</v>
      </c>
      <c r="P2615">
        <v>0</v>
      </c>
      <c r="Q2615">
        <v>0</v>
      </c>
      <c r="R2615">
        <v>0</v>
      </c>
      <c r="S2615">
        <v>0</v>
      </c>
      <c r="T2615">
        <v>0</v>
      </c>
      <c r="U2615">
        <v>0</v>
      </c>
      <c r="V2615">
        <v>0</v>
      </c>
      <c r="W2615">
        <v>0</v>
      </c>
      <c r="X2615">
        <v>0</v>
      </c>
      <c r="Y2615">
        <v>0</v>
      </c>
      <c r="AG2615" t="str">
        <f>HYPERLINK("https://finance.naver.com/item/fchart.naver?code=106520", "노블엠앤비 차트보기")</f>
        <v>노블엠앤비 차트보기</v>
      </c>
    </row>
    <row r="2616" spans="1:33" x14ac:dyDescent="0.3">
      <c r="A2616" t="s">
        <v>10460</v>
      </c>
      <c r="B2616" t="s">
        <v>55</v>
      </c>
      <c r="C2616" t="s">
        <v>10461</v>
      </c>
      <c r="D2616">
        <v>0</v>
      </c>
      <c r="E2616" t="s">
        <v>10293</v>
      </c>
      <c r="F2616">
        <v>23.07</v>
      </c>
      <c r="G2616">
        <v>0</v>
      </c>
      <c r="H2616">
        <v>300</v>
      </c>
      <c r="I2616">
        <v>0</v>
      </c>
      <c r="J2616" t="s">
        <v>10462</v>
      </c>
      <c r="K2616">
        <v>6920</v>
      </c>
      <c r="L2616">
        <v>6920</v>
      </c>
      <c r="M2616">
        <v>0</v>
      </c>
      <c r="N2616">
        <v>0</v>
      </c>
      <c r="O2616">
        <v>0</v>
      </c>
      <c r="P2616">
        <v>0</v>
      </c>
      <c r="Q2616">
        <v>0</v>
      </c>
      <c r="R2616">
        <v>0</v>
      </c>
      <c r="S2616">
        <v>0</v>
      </c>
      <c r="T2616">
        <v>0</v>
      </c>
      <c r="U2616">
        <v>0</v>
      </c>
      <c r="V2616">
        <v>0</v>
      </c>
      <c r="W2616">
        <v>0</v>
      </c>
      <c r="X2616">
        <v>0</v>
      </c>
      <c r="Y2616">
        <v>0</v>
      </c>
      <c r="AG2616" t="str">
        <f>HYPERLINK("https://finance.naver.com/item/fchart.naver?code=214870", "한울BnC 차트보기")</f>
        <v>한울BnC 차트보기</v>
      </c>
    </row>
    <row r="2617" spans="1:33" x14ac:dyDescent="0.3">
      <c r="A2617" t="s">
        <v>10463</v>
      </c>
      <c r="B2617" t="s">
        <v>55</v>
      </c>
      <c r="C2617" t="s">
        <v>10464</v>
      </c>
      <c r="D2617">
        <v>0</v>
      </c>
      <c r="E2617" t="s">
        <v>10293</v>
      </c>
      <c r="F2617">
        <v>0</v>
      </c>
      <c r="G2617">
        <v>0.70999997854232788</v>
      </c>
      <c r="H2617">
        <v>0</v>
      </c>
      <c r="I2617">
        <v>0</v>
      </c>
      <c r="J2617" t="s">
        <v>10465</v>
      </c>
      <c r="K2617">
        <v>145</v>
      </c>
      <c r="L2617">
        <v>145</v>
      </c>
      <c r="M2617">
        <v>0</v>
      </c>
      <c r="N2617">
        <v>0</v>
      </c>
      <c r="O2617">
        <v>0</v>
      </c>
      <c r="P2617">
        <v>0</v>
      </c>
      <c r="Q2617">
        <v>0</v>
      </c>
      <c r="R2617">
        <v>0</v>
      </c>
      <c r="S2617">
        <v>0</v>
      </c>
      <c r="T2617">
        <v>0</v>
      </c>
      <c r="U2617">
        <v>0</v>
      </c>
      <c r="V2617">
        <v>0</v>
      </c>
      <c r="W2617">
        <v>0</v>
      </c>
      <c r="X2617">
        <v>0</v>
      </c>
      <c r="Y2617">
        <v>0</v>
      </c>
      <c r="AG2617" t="str">
        <f>HYPERLINK("https://finance.naver.com/item/fchart.naver?code=065150", "대산F&amp;B 차트보기")</f>
        <v>대산F&amp;B 차트보기</v>
      </c>
    </row>
    <row r="2618" spans="1:33" x14ac:dyDescent="0.3">
      <c r="A2618" t="s">
        <v>10466</v>
      </c>
      <c r="B2618" t="s">
        <v>55</v>
      </c>
      <c r="C2618" t="s">
        <v>10467</v>
      </c>
      <c r="D2618">
        <v>77955.759999999995</v>
      </c>
      <c r="E2618" t="s">
        <v>10468</v>
      </c>
      <c r="F2618">
        <v>0</v>
      </c>
      <c r="G2618">
        <v>0</v>
      </c>
      <c r="H2618">
        <v>0</v>
      </c>
      <c r="I2618">
        <v>0</v>
      </c>
      <c r="J2618" t="s">
        <v>10469</v>
      </c>
      <c r="K2618">
        <v>2275</v>
      </c>
      <c r="L2618">
        <v>2605</v>
      </c>
      <c r="M2618">
        <v>14.51</v>
      </c>
      <c r="N2618">
        <v>0</v>
      </c>
      <c r="O2618">
        <v>-1.1399999999999999</v>
      </c>
      <c r="P2618">
        <v>12.01</v>
      </c>
      <c r="Q2618">
        <v>0.69</v>
      </c>
      <c r="R2618">
        <v>-28.62</v>
      </c>
      <c r="S2618">
        <v>36.26</v>
      </c>
      <c r="T2618">
        <v>0</v>
      </c>
      <c r="U2618">
        <v>3.82</v>
      </c>
      <c r="V2618">
        <v>2.69</v>
      </c>
      <c r="W2618">
        <v>3.34</v>
      </c>
      <c r="X2618">
        <v>4.7</v>
      </c>
      <c r="Y2618">
        <v>8.27</v>
      </c>
      <c r="AA2618">
        <v>0.3</v>
      </c>
      <c r="AB2618">
        <v>4.46</v>
      </c>
      <c r="AC2618">
        <v>0.21</v>
      </c>
      <c r="AD2618">
        <v>6.09</v>
      </c>
      <c r="AE2618">
        <v>4.38</v>
      </c>
      <c r="AG2618" t="str">
        <f>HYPERLINK("https://finance.naver.com/item/fchart.naver?code=438220", "대신밸런스제13호스팩 차트보기")</f>
        <v>대신밸런스제13호스팩 차트보기</v>
      </c>
    </row>
    <row r="2619" spans="1:33" x14ac:dyDescent="0.3">
      <c r="A2619" t="s">
        <v>10470</v>
      </c>
      <c r="B2619" t="s">
        <v>55</v>
      </c>
      <c r="C2619" t="s">
        <v>10471</v>
      </c>
      <c r="D2619">
        <v>11269.57</v>
      </c>
      <c r="E2619" t="s">
        <v>10472</v>
      </c>
      <c r="F2619">
        <v>0</v>
      </c>
      <c r="G2619">
        <v>0</v>
      </c>
      <c r="H2619">
        <v>0</v>
      </c>
      <c r="I2619">
        <v>0</v>
      </c>
      <c r="J2619" t="s">
        <v>10473</v>
      </c>
      <c r="K2619">
        <v>2200</v>
      </c>
      <c r="L2619">
        <v>2385</v>
      </c>
      <c r="M2619">
        <v>8.41</v>
      </c>
      <c r="N2619">
        <v>0</v>
      </c>
      <c r="O2619">
        <v>0.42</v>
      </c>
      <c r="P2619">
        <v>-0.64</v>
      </c>
      <c r="Q2619">
        <v>-0.43</v>
      </c>
      <c r="R2619">
        <v>3.57</v>
      </c>
      <c r="S2619">
        <v>2.75</v>
      </c>
      <c r="T2619">
        <v>0</v>
      </c>
      <c r="U2619">
        <v>0.54</v>
      </c>
      <c r="V2619">
        <v>1.39</v>
      </c>
      <c r="W2619">
        <v>1.24</v>
      </c>
      <c r="X2619">
        <v>1.3</v>
      </c>
      <c r="Y2619">
        <v>0.92</v>
      </c>
      <c r="AA2619">
        <v>0.78</v>
      </c>
      <c r="AB2619">
        <v>0.46</v>
      </c>
      <c r="AC2619">
        <v>0.35</v>
      </c>
      <c r="AD2619">
        <v>2.75</v>
      </c>
      <c r="AE2619">
        <v>2.99</v>
      </c>
      <c r="AG2619" t="str">
        <f>HYPERLINK("https://finance.naver.com/item/fchart.naver?code=457390", "대신밸런스제15호스팩 차트보기")</f>
        <v>대신밸런스제15호스팩 차트보기</v>
      </c>
    </row>
    <row r="2620" spans="1:33" x14ac:dyDescent="0.3">
      <c r="A2620" t="s">
        <v>10474</v>
      </c>
      <c r="B2620" t="s">
        <v>55</v>
      </c>
      <c r="C2620" t="s">
        <v>10475</v>
      </c>
      <c r="D2620">
        <v>19382.189999999999</v>
      </c>
      <c r="E2620" t="s">
        <v>10476</v>
      </c>
      <c r="F2620">
        <v>0</v>
      </c>
      <c r="G2620">
        <v>0</v>
      </c>
      <c r="H2620">
        <v>0</v>
      </c>
      <c r="I2620">
        <v>0</v>
      </c>
      <c r="J2620" t="s">
        <v>10477</v>
      </c>
      <c r="K2620">
        <v>2025</v>
      </c>
      <c r="L2620">
        <v>2050</v>
      </c>
      <c r="M2620">
        <v>1.23</v>
      </c>
      <c r="N2620">
        <v>-0.24</v>
      </c>
      <c r="O2620">
        <v>1.48</v>
      </c>
      <c r="P2620">
        <v>-0.25</v>
      </c>
      <c r="Q2620">
        <v>0.49</v>
      </c>
      <c r="R2620">
        <v>0</v>
      </c>
      <c r="S2620">
        <v>0</v>
      </c>
      <c r="T2620">
        <v>0.27</v>
      </c>
      <c r="U2620">
        <v>0.21</v>
      </c>
      <c r="V2620">
        <v>0.26</v>
      </c>
      <c r="W2620">
        <v>0.37</v>
      </c>
      <c r="X2620">
        <v>0</v>
      </c>
      <c r="Y2620">
        <v>0</v>
      </c>
      <c r="Z2620">
        <v>0.89</v>
      </c>
      <c r="AA2620">
        <v>7.05</v>
      </c>
      <c r="AB2620">
        <v>0.96</v>
      </c>
      <c r="AC2620">
        <v>1.32</v>
      </c>
      <c r="AG2620" t="str">
        <f>HYPERLINK("https://finance.naver.com/item/fchart.naver?code=478780", "대신밸런스제18호스팩 차트보기")</f>
        <v>대신밸런스제18호스팩 차트보기</v>
      </c>
    </row>
    <row r="2621" spans="1:33" x14ac:dyDescent="0.3">
      <c r="A2621" t="s">
        <v>10478</v>
      </c>
      <c r="B2621" t="s">
        <v>55</v>
      </c>
      <c r="C2621" t="s">
        <v>10479</v>
      </c>
      <c r="D2621">
        <v>0</v>
      </c>
      <c r="E2621" t="s">
        <v>10293</v>
      </c>
      <c r="F2621">
        <v>0</v>
      </c>
      <c r="G2621">
        <v>0.67000001668930054</v>
      </c>
      <c r="H2621">
        <v>0</v>
      </c>
      <c r="I2621">
        <v>0</v>
      </c>
      <c r="J2621" t="s">
        <v>10480</v>
      </c>
      <c r="K2621">
        <v>2300</v>
      </c>
      <c r="L2621">
        <v>2300</v>
      </c>
      <c r="M2621">
        <v>0</v>
      </c>
      <c r="N2621">
        <v>0</v>
      </c>
      <c r="O2621">
        <v>0</v>
      </c>
      <c r="P2621">
        <v>0</v>
      </c>
      <c r="Q2621">
        <v>0</v>
      </c>
      <c r="R2621">
        <v>0</v>
      </c>
      <c r="S2621">
        <v>0</v>
      </c>
      <c r="T2621">
        <v>0</v>
      </c>
      <c r="U2621">
        <v>0</v>
      </c>
      <c r="V2621">
        <v>0</v>
      </c>
      <c r="W2621">
        <v>0</v>
      </c>
      <c r="X2621">
        <v>0</v>
      </c>
      <c r="Y2621">
        <v>0</v>
      </c>
      <c r="AG2621" t="str">
        <f>HYPERLINK("https://finance.naver.com/item/fchart.naver?code=290380", "대유 차트보기")</f>
        <v>대유 차트보기</v>
      </c>
    </row>
    <row r="2622" spans="1:33" x14ac:dyDescent="0.3">
      <c r="A2622" t="s">
        <v>10481</v>
      </c>
      <c r="B2622" t="s">
        <v>55</v>
      </c>
      <c r="C2622" t="s">
        <v>10482</v>
      </c>
      <c r="D2622">
        <v>626069.14</v>
      </c>
      <c r="E2622" t="s">
        <v>10483</v>
      </c>
      <c r="F2622">
        <v>0</v>
      </c>
      <c r="G2622">
        <v>1.200000047683716</v>
      </c>
      <c r="H2622">
        <v>0</v>
      </c>
      <c r="I2622">
        <v>0</v>
      </c>
      <c r="J2622" t="s">
        <v>10484</v>
      </c>
      <c r="K2622">
        <v>3640</v>
      </c>
      <c r="L2622">
        <v>1588</v>
      </c>
      <c r="M2622">
        <v>-56.37</v>
      </c>
      <c r="N2622">
        <v>3.18</v>
      </c>
      <c r="O2622">
        <v>-56.46</v>
      </c>
      <c r="P2622">
        <v>0</v>
      </c>
      <c r="Q2622">
        <v>0</v>
      </c>
      <c r="R2622">
        <v>0</v>
      </c>
      <c r="S2622">
        <v>0</v>
      </c>
      <c r="T2622">
        <v>5.22</v>
      </c>
      <c r="U2622">
        <v>7.36</v>
      </c>
      <c r="V2622">
        <v>0</v>
      </c>
      <c r="W2622">
        <v>0</v>
      </c>
      <c r="X2622">
        <v>0</v>
      </c>
      <c r="Y2622">
        <v>0</v>
      </c>
      <c r="Z2622">
        <v>0.61</v>
      </c>
      <c r="AA2622">
        <v>7.67</v>
      </c>
      <c r="AG2622" t="str">
        <f>HYPERLINK("https://finance.naver.com/item/fchart.naver?code=032860", "더라미 차트보기")</f>
        <v>더라미 차트보기</v>
      </c>
    </row>
    <row r="2623" spans="1:33" x14ac:dyDescent="0.3">
      <c r="A2623" t="s">
        <v>10485</v>
      </c>
      <c r="B2623" t="s">
        <v>55</v>
      </c>
      <c r="C2623" t="s">
        <v>10486</v>
      </c>
      <c r="D2623">
        <v>0</v>
      </c>
      <c r="E2623" t="s">
        <v>10293</v>
      </c>
      <c r="F2623">
        <v>0</v>
      </c>
      <c r="G2623">
        <v>27.20999908447266</v>
      </c>
      <c r="H2623">
        <v>0</v>
      </c>
      <c r="I2623">
        <v>0</v>
      </c>
      <c r="J2623" t="s">
        <v>10487</v>
      </c>
      <c r="K2623">
        <v>381</v>
      </c>
      <c r="L2623">
        <v>381</v>
      </c>
      <c r="M2623">
        <v>0</v>
      </c>
      <c r="N2623">
        <v>0</v>
      </c>
      <c r="O2623">
        <v>0</v>
      </c>
      <c r="P2623">
        <v>0</v>
      </c>
      <c r="Q2623">
        <v>0</v>
      </c>
      <c r="R2623">
        <v>0</v>
      </c>
      <c r="S2623">
        <v>0</v>
      </c>
      <c r="T2623">
        <v>0</v>
      </c>
      <c r="U2623">
        <v>0</v>
      </c>
      <c r="V2623">
        <v>0</v>
      </c>
      <c r="W2623">
        <v>0</v>
      </c>
      <c r="X2623">
        <v>0</v>
      </c>
      <c r="Y2623">
        <v>0</v>
      </c>
      <c r="AG2623" t="str">
        <f>HYPERLINK("https://finance.naver.com/item/fchart.naver?code=217620", "디딤이앤에프 차트보기")</f>
        <v>디딤이앤에프 차트보기</v>
      </c>
    </row>
    <row r="2624" spans="1:33" x14ac:dyDescent="0.3">
      <c r="A2624" t="s">
        <v>10488</v>
      </c>
      <c r="B2624" t="s">
        <v>55</v>
      </c>
      <c r="C2624" t="s">
        <v>10489</v>
      </c>
      <c r="D2624">
        <v>0</v>
      </c>
      <c r="E2624" t="s">
        <v>10293</v>
      </c>
      <c r="F2624">
        <v>0</v>
      </c>
      <c r="G2624">
        <v>0.67000001668930054</v>
      </c>
      <c r="H2624">
        <v>0</v>
      </c>
      <c r="I2624">
        <v>0</v>
      </c>
      <c r="J2624" t="s">
        <v>10490</v>
      </c>
      <c r="K2624">
        <v>203</v>
      </c>
      <c r="L2624">
        <v>203</v>
      </c>
      <c r="M2624">
        <v>0</v>
      </c>
      <c r="N2624">
        <v>0</v>
      </c>
      <c r="O2624">
        <v>0</v>
      </c>
      <c r="P2624">
        <v>0</v>
      </c>
      <c r="Q2624">
        <v>0</v>
      </c>
      <c r="R2624">
        <v>0</v>
      </c>
      <c r="S2624">
        <v>0</v>
      </c>
      <c r="T2624">
        <v>0</v>
      </c>
      <c r="U2624">
        <v>0</v>
      </c>
      <c r="V2624">
        <v>0</v>
      </c>
      <c r="W2624">
        <v>0</v>
      </c>
      <c r="X2624">
        <v>0</v>
      </c>
      <c r="Y2624">
        <v>0</v>
      </c>
      <c r="AG2624" t="str">
        <f>HYPERLINK("https://finance.naver.com/item/fchart.naver?code=196490", "디에이테크놀로지 차트보기")</f>
        <v>디에이테크놀로지 차트보기</v>
      </c>
    </row>
    <row r="2625" spans="1:33" x14ac:dyDescent="0.3">
      <c r="A2625" t="s">
        <v>10491</v>
      </c>
      <c r="B2625" t="s">
        <v>55</v>
      </c>
      <c r="C2625" t="s">
        <v>10492</v>
      </c>
      <c r="D2625">
        <v>0</v>
      </c>
      <c r="E2625" t="s">
        <v>10293</v>
      </c>
      <c r="F2625">
        <v>0</v>
      </c>
      <c r="G2625">
        <v>4.940000057220459</v>
      </c>
      <c r="H2625">
        <v>0</v>
      </c>
      <c r="I2625">
        <v>0</v>
      </c>
      <c r="J2625" t="s">
        <v>10493</v>
      </c>
      <c r="K2625">
        <v>13250</v>
      </c>
      <c r="L2625">
        <v>11300</v>
      </c>
      <c r="M2625">
        <v>-14.72</v>
      </c>
      <c r="N2625">
        <v>0</v>
      </c>
      <c r="O2625">
        <v>0.27</v>
      </c>
      <c r="P2625">
        <v>-0.44</v>
      </c>
      <c r="Q2625">
        <v>-0.54</v>
      </c>
      <c r="R2625">
        <v>-13.41</v>
      </c>
      <c r="S2625">
        <v>-0.15</v>
      </c>
      <c r="T2625">
        <v>0</v>
      </c>
      <c r="U2625">
        <v>0.27</v>
      </c>
      <c r="V2625">
        <v>3.55</v>
      </c>
      <c r="W2625">
        <v>4.8899999999999997</v>
      </c>
      <c r="X2625">
        <v>1.82</v>
      </c>
      <c r="Y2625">
        <v>1.94</v>
      </c>
      <c r="AA2625">
        <v>1</v>
      </c>
      <c r="AB2625">
        <v>0.12</v>
      </c>
      <c r="AC2625">
        <v>0.11</v>
      </c>
      <c r="AD2625">
        <v>7.37</v>
      </c>
      <c r="AE2625">
        <v>0.08</v>
      </c>
      <c r="AG2625" t="str">
        <f>HYPERLINK("https://finance.naver.com/item/fchart.naver?code=279600", "미디어젠 차트보기")</f>
        <v>미디어젠 차트보기</v>
      </c>
    </row>
    <row r="2626" spans="1:33" x14ac:dyDescent="0.3">
      <c r="A2626" t="s">
        <v>10494</v>
      </c>
      <c r="B2626" t="s">
        <v>55</v>
      </c>
      <c r="C2626" t="s">
        <v>10495</v>
      </c>
      <c r="D2626">
        <v>143294.14000000001</v>
      </c>
      <c r="E2626" t="s">
        <v>10496</v>
      </c>
      <c r="F2626">
        <v>0</v>
      </c>
      <c r="G2626">
        <v>0</v>
      </c>
      <c r="H2626">
        <v>0</v>
      </c>
      <c r="I2626">
        <v>0</v>
      </c>
      <c r="J2626" t="s">
        <v>10497</v>
      </c>
      <c r="K2626">
        <v>2260</v>
      </c>
      <c r="L2626">
        <v>2690</v>
      </c>
      <c r="M2626">
        <v>19.03</v>
      </c>
      <c r="N2626">
        <v>-13.09</v>
      </c>
      <c r="O2626">
        <v>8.8000000000000007</v>
      </c>
      <c r="P2626">
        <v>1.34</v>
      </c>
      <c r="Q2626">
        <v>0</v>
      </c>
      <c r="R2626">
        <v>0</v>
      </c>
      <c r="S2626">
        <v>13.67</v>
      </c>
      <c r="T2626">
        <v>3.29</v>
      </c>
      <c r="U2626">
        <v>2.38</v>
      </c>
      <c r="V2626">
        <v>1.94</v>
      </c>
      <c r="W2626">
        <v>0</v>
      </c>
      <c r="X2626">
        <v>0</v>
      </c>
      <c r="Y2626">
        <v>1.81</v>
      </c>
      <c r="Z2626">
        <v>3.98</v>
      </c>
      <c r="AA2626">
        <v>3.7</v>
      </c>
      <c r="AB2626">
        <v>0.69</v>
      </c>
      <c r="AE2626">
        <v>7.55</v>
      </c>
      <c r="AG2626" t="str">
        <f>HYPERLINK("https://finance.naver.com/item/fchart.naver?code=412930", "미래에셋비전스팩1호 차트보기")</f>
        <v>미래에셋비전스팩1호 차트보기</v>
      </c>
    </row>
    <row r="2627" spans="1:33" x14ac:dyDescent="0.3">
      <c r="A2627" t="s">
        <v>10498</v>
      </c>
      <c r="B2627" t="s">
        <v>55</v>
      </c>
      <c r="C2627" t="s">
        <v>10499</v>
      </c>
      <c r="D2627">
        <v>55121.52</v>
      </c>
      <c r="E2627" t="s">
        <v>10500</v>
      </c>
      <c r="F2627">
        <v>0</v>
      </c>
      <c r="G2627">
        <v>0</v>
      </c>
      <c r="H2627">
        <v>0</v>
      </c>
      <c r="I2627">
        <v>0</v>
      </c>
      <c r="J2627" t="s">
        <v>10501</v>
      </c>
      <c r="K2627">
        <v>1984</v>
      </c>
      <c r="L2627">
        <v>1984</v>
      </c>
      <c r="M2627">
        <v>0</v>
      </c>
      <c r="N2627">
        <v>0.05</v>
      </c>
      <c r="O2627">
        <v>-0.2</v>
      </c>
      <c r="P2627">
        <v>0.2</v>
      </c>
      <c r="Q2627">
        <v>0</v>
      </c>
      <c r="R2627">
        <v>0</v>
      </c>
      <c r="S2627">
        <v>0</v>
      </c>
      <c r="T2627">
        <v>0.05</v>
      </c>
      <c r="U2627">
        <v>7.0000000000000007E-2</v>
      </c>
      <c r="V2627">
        <v>0.13</v>
      </c>
      <c r="W2627">
        <v>0</v>
      </c>
      <c r="X2627">
        <v>0</v>
      </c>
      <c r="Y2627">
        <v>0</v>
      </c>
      <c r="Z2627">
        <v>1</v>
      </c>
      <c r="AA2627">
        <v>2.86</v>
      </c>
      <c r="AB2627">
        <v>1.54</v>
      </c>
      <c r="AG2627" t="str">
        <f>HYPERLINK("https://finance.naver.com/item/fchart.naver?code=482680", "미래에셋비전스팩7호 차트보기")</f>
        <v>미래에셋비전스팩7호 차트보기</v>
      </c>
    </row>
    <row r="2628" spans="1:33" x14ac:dyDescent="0.3">
      <c r="A2628" t="s">
        <v>10502</v>
      </c>
      <c r="B2628" t="s">
        <v>55</v>
      </c>
      <c r="C2628" t="s">
        <v>10503</v>
      </c>
      <c r="D2628">
        <v>1017740.33</v>
      </c>
      <c r="E2628" t="s">
        <v>10504</v>
      </c>
      <c r="F2628">
        <v>0</v>
      </c>
      <c r="G2628">
        <v>6.1500000953674316</v>
      </c>
      <c r="H2628">
        <v>0</v>
      </c>
      <c r="I2628">
        <v>0</v>
      </c>
      <c r="J2628" t="s">
        <v>10505</v>
      </c>
      <c r="K2628">
        <v>15750</v>
      </c>
      <c r="L2628">
        <v>7320</v>
      </c>
      <c r="M2628">
        <v>-53.52</v>
      </c>
      <c r="N2628">
        <v>12.62</v>
      </c>
      <c r="O2628">
        <v>-22.03</v>
      </c>
      <c r="P2628">
        <v>-3.55</v>
      </c>
      <c r="Q2628">
        <v>-49.08</v>
      </c>
      <c r="R2628">
        <v>0</v>
      </c>
      <c r="S2628">
        <v>0</v>
      </c>
      <c r="T2628">
        <v>7.46</v>
      </c>
      <c r="U2628">
        <v>6.06</v>
      </c>
      <c r="V2628">
        <v>8.5500000000000007</v>
      </c>
      <c r="W2628">
        <v>5.68</v>
      </c>
      <c r="X2628">
        <v>0</v>
      </c>
      <c r="Y2628">
        <v>0</v>
      </c>
      <c r="Z2628">
        <v>1.69</v>
      </c>
      <c r="AA2628">
        <v>3.64</v>
      </c>
      <c r="AB2628">
        <v>0.42</v>
      </c>
      <c r="AC2628">
        <v>8.64</v>
      </c>
      <c r="AG2628" t="str">
        <f>HYPERLINK("https://finance.naver.com/item/fchart.naver?code=199480", "뱅크웨어글로벌 차트보기")</f>
        <v>뱅크웨어글로벌 차트보기</v>
      </c>
    </row>
    <row r="2629" spans="1:33" x14ac:dyDescent="0.3">
      <c r="A2629" t="s">
        <v>10506</v>
      </c>
      <c r="B2629" t="s">
        <v>55</v>
      </c>
      <c r="C2629" t="s">
        <v>10507</v>
      </c>
      <c r="D2629">
        <v>0</v>
      </c>
      <c r="E2629" t="s">
        <v>10293</v>
      </c>
      <c r="F2629">
        <v>18.3</v>
      </c>
      <c r="G2629">
        <v>0.63999998569488525</v>
      </c>
      <c r="H2629">
        <v>63</v>
      </c>
      <c r="I2629">
        <v>0</v>
      </c>
      <c r="J2629" t="s">
        <v>10508</v>
      </c>
      <c r="K2629">
        <v>1153</v>
      </c>
      <c r="L2629">
        <v>1153</v>
      </c>
      <c r="M2629">
        <v>0</v>
      </c>
      <c r="N2629">
        <v>0</v>
      </c>
      <c r="O2629">
        <v>0</v>
      </c>
      <c r="P2629">
        <v>0</v>
      </c>
      <c r="Q2629">
        <v>0</v>
      </c>
      <c r="R2629">
        <v>0</v>
      </c>
      <c r="S2629">
        <v>0</v>
      </c>
      <c r="T2629">
        <v>0</v>
      </c>
      <c r="U2629">
        <v>0</v>
      </c>
      <c r="V2629">
        <v>0</v>
      </c>
      <c r="W2629">
        <v>0</v>
      </c>
      <c r="X2629">
        <v>0</v>
      </c>
      <c r="Y2629">
        <v>0</v>
      </c>
      <c r="AG2629" t="str">
        <f>HYPERLINK("https://finance.naver.com/item/fchart.naver?code=066410", "버킷스튜디오 차트보기")</f>
        <v>버킷스튜디오 차트보기</v>
      </c>
    </row>
    <row r="2630" spans="1:33" x14ac:dyDescent="0.3">
      <c r="A2630" t="s">
        <v>10509</v>
      </c>
      <c r="B2630" t="s">
        <v>55</v>
      </c>
      <c r="C2630" t="s">
        <v>10510</v>
      </c>
      <c r="D2630">
        <v>0</v>
      </c>
      <c r="E2630" t="s">
        <v>10293</v>
      </c>
      <c r="F2630">
        <v>0</v>
      </c>
      <c r="G2630">
        <v>0.46000000834465032</v>
      </c>
      <c r="H2630">
        <v>0</v>
      </c>
      <c r="I2630">
        <v>0</v>
      </c>
      <c r="J2630" t="s">
        <v>10511</v>
      </c>
      <c r="K2630">
        <v>3320</v>
      </c>
      <c r="L2630">
        <v>3320</v>
      </c>
      <c r="M2630">
        <v>0</v>
      </c>
      <c r="N2630">
        <v>0</v>
      </c>
      <c r="O2630">
        <v>0</v>
      </c>
      <c r="P2630">
        <v>0</v>
      </c>
      <c r="Q2630">
        <v>0</v>
      </c>
      <c r="R2630">
        <v>0</v>
      </c>
      <c r="S2630">
        <v>0</v>
      </c>
      <c r="T2630">
        <v>0</v>
      </c>
      <c r="U2630">
        <v>0</v>
      </c>
      <c r="V2630">
        <v>0</v>
      </c>
      <c r="W2630">
        <v>0</v>
      </c>
      <c r="X2630">
        <v>0</v>
      </c>
      <c r="Y2630">
        <v>0</v>
      </c>
      <c r="AG2630" t="str">
        <f>HYPERLINK("https://finance.naver.com/item/fchart.naver?code=121800", "비덴트 차트보기")</f>
        <v>비덴트 차트보기</v>
      </c>
    </row>
    <row r="2631" spans="1:33" x14ac:dyDescent="0.3">
      <c r="A2631" t="s">
        <v>10512</v>
      </c>
      <c r="B2631" t="s">
        <v>55</v>
      </c>
      <c r="C2631" t="s">
        <v>10513</v>
      </c>
      <c r="D2631">
        <v>0</v>
      </c>
      <c r="E2631" t="s">
        <v>10293</v>
      </c>
      <c r="F2631">
        <v>0</v>
      </c>
      <c r="G2631">
        <v>1.2699999809265139</v>
      </c>
      <c r="H2631">
        <v>0</v>
      </c>
      <c r="I2631">
        <v>0</v>
      </c>
      <c r="J2631" t="s">
        <v>10514</v>
      </c>
      <c r="K2631">
        <v>229</v>
      </c>
      <c r="L2631">
        <v>229</v>
      </c>
      <c r="M2631">
        <v>0</v>
      </c>
      <c r="N2631">
        <v>0</v>
      </c>
      <c r="O2631">
        <v>0</v>
      </c>
      <c r="P2631">
        <v>0</v>
      </c>
      <c r="Q2631">
        <v>0</v>
      </c>
      <c r="R2631">
        <v>0</v>
      </c>
      <c r="S2631">
        <v>0</v>
      </c>
      <c r="T2631">
        <v>0</v>
      </c>
      <c r="U2631">
        <v>0</v>
      </c>
      <c r="V2631">
        <v>0</v>
      </c>
      <c r="W2631">
        <v>0</v>
      </c>
      <c r="X2631">
        <v>0</v>
      </c>
      <c r="Y2631">
        <v>0</v>
      </c>
      <c r="AG2631" t="str">
        <f>HYPERLINK("https://finance.naver.com/item/fchart.naver?code=230980", "비유테크놀러지 차트보기")</f>
        <v>비유테크놀러지 차트보기</v>
      </c>
    </row>
    <row r="2632" spans="1:33" x14ac:dyDescent="0.3">
      <c r="A2632" t="s">
        <v>10515</v>
      </c>
      <c r="B2632" t="s">
        <v>55</v>
      </c>
      <c r="C2632" t="s">
        <v>10516</v>
      </c>
      <c r="D2632">
        <v>27949.71</v>
      </c>
      <c r="E2632" t="s">
        <v>10517</v>
      </c>
      <c r="F2632">
        <v>28.48</v>
      </c>
      <c r="G2632">
        <v>0.5899999737739563</v>
      </c>
      <c r="H2632">
        <v>132</v>
      </c>
      <c r="I2632">
        <v>0</v>
      </c>
      <c r="J2632" t="s">
        <v>10518</v>
      </c>
      <c r="K2632">
        <v>5260</v>
      </c>
      <c r="L2632">
        <v>3760</v>
      </c>
      <c r="M2632">
        <v>-28.52</v>
      </c>
      <c r="N2632">
        <v>4.16</v>
      </c>
      <c r="O2632">
        <v>-20</v>
      </c>
      <c r="P2632">
        <v>0</v>
      </c>
      <c r="Q2632">
        <v>0</v>
      </c>
      <c r="R2632">
        <v>0</v>
      </c>
      <c r="S2632">
        <v>-7.43</v>
      </c>
      <c r="T2632">
        <v>2.34</v>
      </c>
      <c r="U2632">
        <v>2.4</v>
      </c>
      <c r="V2632">
        <v>0</v>
      </c>
      <c r="W2632">
        <v>0</v>
      </c>
      <c r="X2632">
        <v>0</v>
      </c>
      <c r="Y2632">
        <v>2.0499999999999998</v>
      </c>
      <c r="Z2632">
        <v>1.78</v>
      </c>
      <c r="AA2632">
        <v>8.33</v>
      </c>
      <c r="AE2632">
        <v>3.62</v>
      </c>
      <c r="AG2632" t="str">
        <f>HYPERLINK("https://finance.naver.com/item/fchart.naver?code=238200", "비피도 차트보기")</f>
        <v>비피도 차트보기</v>
      </c>
    </row>
    <row r="2633" spans="1:33" x14ac:dyDescent="0.3">
      <c r="A2633" t="s">
        <v>10519</v>
      </c>
      <c r="B2633" t="s">
        <v>55</v>
      </c>
      <c r="C2633" t="s">
        <v>10520</v>
      </c>
      <c r="D2633">
        <v>13716.71</v>
      </c>
      <c r="E2633" t="s">
        <v>10521</v>
      </c>
      <c r="F2633">
        <v>0</v>
      </c>
      <c r="G2633">
        <v>0</v>
      </c>
      <c r="H2633">
        <v>0</v>
      </c>
      <c r="I2633">
        <v>0</v>
      </c>
      <c r="J2633" t="s">
        <v>10522</v>
      </c>
      <c r="K2633">
        <v>2030</v>
      </c>
      <c r="L2633">
        <v>2020</v>
      </c>
      <c r="M2633">
        <v>-0.49</v>
      </c>
      <c r="N2633">
        <v>0</v>
      </c>
      <c r="O2633">
        <v>-0.74</v>
      </c>
      <c r="P2633">
        <v>-0.49</v>
      </c>
      <c r="Q2633">
        <v>-1.45</v>
      </c>
      <c r="R2633">
        <v>2.23</v>
      </c>
      <c r="S2633">
        <v>-0.5</v>
      </c>
      <c r="T2633">
        <v>0</v>
      </c>
      <c r="U2633">
        <v>0.23</v>
      </c>
      <c r="V2633">
        <v>0.82</v>
      </c>
      <c r="W2633">
        <v>0.53</v>
      </c>
      <c r="X2633">
        <v>0.27</v>
      </c>
      <c r="Y2633">
        <v>0.27</v>
      </c>
      <c r="AA2633">
        <v>3.22</v>
      </c>
      <c r="AB2633">
        <v>0.6</v>
      </c>
      <c r="AC2633">
        <v>2.74</v>
      </c>
      <c r="AD2633">
        <v>8.26</v>
      </c>
      <c r="AE2633">
        <v>1.85</v>
      </c>
      <c r="AG2633" t="str">
        <f>HYPERLINK("https://finance.naver.com/item/fchart.naver?code=468510", "삼성스팩9호 차트보기")</f>
        <v>삼성스팩9호 차트보기</v>
      </c>
    </row>
    <row r="2634" spans="1:33" x14ac:dyDescent="0.3">
      <c r="A2634" t="s">
        <v>10523</v>
      </c>
      <c r="B2634" t="s">
        <v>55</v>
      </c>
      <c r="C2634" t="s">
        <v>10524</v>
      </c>
      <c r="D2634">
        <v>0</v>
      </c>
      <c r="E2634" t="s">
        <v>10293</v>
      </c>
      <c r="F2634">
        <v>0</v>
      </c>
      <c r="G2634">
        <v>1.320000052452087</v>
      </c>
      <c r="H2634">
        <v>0</v>
      </c>
      <c r="I2634">
        <v>0</v>
      </c>
      <c r="J2634" t="s">
        <v>10525</v>
      </c>
      <c r="K2634">
        <v>412</v>
      </c>
      <c r="L2634">
        <v>412</v>
      </c>
      <c r="M2634">
        <v>0</v>
      </c>
      <c r="N2634">
        <v>0</v>
      </c>
      <c r="O2634">
        <v>0</v>
      </c>
      <c r="P2634">
        <v>0</v>
      </c>
      <c r="Q2634">
        <v>0</v>
      </c>
      <c r="R2634">
        <v>0</v>
      </c>
      <c r="S2634">
        <v>0</v>
      </c>
      <c r="T2634">
        <v>0</v>
      </c>
      <c r="U2634">
        <v>0</v>
      </c>
      <c r="V2634">
        <v>0</v>
      </c>
      <c r="W2634">
        <v>0</v>
      </c>
      <c r="X2634">
        <v>0</v>
      </c>
      <c r="Y2634">
        <v>0</v>
      </c>
      <c r="AG2634" t="str">
        <f>HYPERLINK("https://finance.naver.com/item/fchart.naver?code=258830", "세종메디칼 차트보기")</f>
        <v>세종메디칼 차트보기</v>
      </c>
    </row>
    <row r="2635" spans="1:33" x14ac:dyDescent="0.3">
      <c r="A2635" t="s">
        <v>10526</v>
      </c>
      <c r="B2635" t="s">
        <v>55</v>
      </c>
      <c r="C2635" t="s">
        <v>10527</v>
      </c>
      <c r="D2635">
        <v>0</v>
      </c>
      <c r="E2635" t="s">
        <v>10293</v>
      </c>
      <c r="F2635">
        <v>0</v>
      </c>
      <c r="G2635">
        <v>2.4500000476837158</v>
      </c>
      <c r="H2635">
        <v>0</v>
      </c>
      <c r="I2635">
        <v>0</v>
      </c>
      <c r="J2635" t="s">
        <v>10528</v>
      </c>
      <c r="K2635">
        <v>1080</v>
      </c>
      <c r="L2635">
        <v>1080</v>
      </c>
      <c r="M2635">
        <v>0</v>
      </c>
      <c r="N2635">
        <v>0</v>
      </c>
      <c r="O2635">
        <v>0</v>
      </c>
      <c r="P2635">
        <v>0</v>
      </c>
      <c r="Q2635">
        <v>0</v>
      </c>
      <c r="R2635">
        <v>0</v>
      </c>
      <c r="S2635">
        <v>0</v>
      </c>
      <c r="T2635">
        <v>0</v>
      </c>
      <c r="U2635">
        <v>0</v>
      </c>
      <c r="V2635">
        <v>0</v>
      </c>
      <c r="W2635">
        <v>0</v>
      </c>
      <c r="X2635">
        <v>0</v>
      </c>
      <c r="Y2635">
        <v>0</v>
      </c>
      <c r="AG2635" t="str">
        <f>HYPERLINK("https://finance.naver.com/item/fchart.naver?code=222810", "세토피아 차트보기")</f>
        <v>세토피아 차트보기</v>
      </c>
    </row>
    <row r="2636" spans="1:33" x14ac:dyDescent="0.3">
      <c r="A2636" t="s">
        <v>10529</v>
      </c>
      <c r="B2636" t="s">
        <v>55</v>
      </c>
      <c r="C2636" t="s">
        <v>10530</v>
      </c>
      <c r="D2636">
        <v>0</v>
      </c>
      <c r="E2636" t="s">
        <v>10293</v>
      </c>
      <c r="F2636">
        <v>0</v>
      </c>
      <c r="G2636">
        <v>0</v>
      </c>
      <c r="H2636">
        <v>0</v>
      </c>
      <c r="I2636">
        <v>0</v>
      </c>
      <c r="J2636" t="s">
        <v>10531</v>
      </c>
      <c r="K2636">
        <v>6680</v>
      </c>
      <c r="L2636">
        <v>6680</v>
      </c>
      <c r="M2636">
        <v>0</v>
      </c>
      <c r="N2636">
        <v>0</v>
      </c>
      <c r="O2636">
        <v>0</v>
      </c>
      <c r="P2636">
        <v>0</v>
      </c>
      <c r="Q2636">
        <v>0</v>
      </c>
      <c r="R2636">
        <v>0</v>
      </c>
      <c r="S2636">
        <v>0</v>
      </c>
      <c r="T2636">
        <v>0</v>
      </c>
      <c r="U2636">
        <v>0</v>
      </c>
      <c r="V2636">
        <v>0</v>
      </c>
      <c r="W2636">
        <v>0</v>
      </c>
      <c r="X2636">
        <v>0</v>
      </c>
      <c r="Y2636">
        <v>0</v>
      </c>
      <c r="AG2636" t="str">
        <f>HYPERLINK("https://finance.naver.com/item/fchart.naver?code=268600", "셀리버리 차트보기")</f>
        <v>셀리버리 차트보기</v>
      </c>
    </row>
    <row r="2637" spans="1:33" x14ac:dyDescent="0.3">
      <c r="A2637" t="s">
        <v>10532</v>
      </c>
      <c r="B2637" t="s">
        <v>55</v>
      </c>
      <c r="C2637" t="s">
        <v>10533</v>
      </c>
      <c r="D2637">
        <v>0</v>
      </c>
      <c r="E2637" t="s">
        <v>10293</v>
      </c>
      <c r="F2637">
        <v>0</v>
      </c>
      <c r="G2637">
        <v>1.450000047683716</v>
      </c>
      <c r="H2637">
        <v>0</v>
      </c>
      <c r="I2637">
        <v>0</v>
      </c>
      <c r="J2637" t="s">
        <v>10534</v>
      </c>
      <c r="K2637">
        <v>778</v>
      </c>
      <c r="L2637">
        <v>778</v>
      </c>
      <c r="M2637">
        <v>0</v>
      </c>
      <c r="N2637">
        <v>0</v>
      </c>
      <c r="O2637">
        <v>0</v>
      </c>
      <c r="P2637">
        <v>0</v>
      </c>
      <c r="Q2637">
        <v>0</v>
      </c>
      <c r="R2637">
        <v>0</v>
      </c>
      <c r="S2637">
        <v>0</v>
      </c>
      <c r="T2637">
        <v>0</v>
      </c>
      <c r="U2637">
        <v>0</v>
      </c>
      <c r="V2637">
        <v>0</v>
      </c>
      <c r="W2637">
        <v>0</v>
      </c>
      <c r="X2637">
        <v>0</v>
      </c>
      <c r="Y2637">
        <v>0</v>
      </c>
      <c r="AG2637" t="str">
        <f>HYPERLINK("https://finance.naver.com/item/fchart.naver?code=068940", "셀피글로벌 차트보기")</f>
        <v>셀피글로벌 차트보기</v>
      </c>
    </row>
    <row r="2638" spans="1:33" x14ac:dyDescent="0.3">
      <c r="A2638" t="s">
        <v>10535</v>
      </c>
      <c r="B2638" t="s">
        <v>55</v>
      </c>
      <c r="C2638" t="s">
        <v>10536</v>
      </c>
      <c r="D2638">
        <v>0</v>
      </c>
      <c r="E2638" t="s">
        <v>10293</v>
      </c>
      <c r="F2638">
        <v>0</v>
      </c>
      <c r="G2638">
        <v>0.37000000476837158</v>
      </c>
      <c r="H2638">
        <v>0</v>
      </c>
      <c r="I2638">
        <v>0</v>
      </c>
      <c r="J2638" t="s">
        <v>10537</v>
      </c>
      <c r="K2638">
        <v>4650</v>
      </c>
      <c r="L2638">
        <v>4650</v>
      </c>
      <c r="M2638">
        <v>0</v>
      </c>
      <c r="N2638">
        <v>0</v>
      </c>
      <c r="O2638">
        <v>0</v>
      </c>
      <c r="P2638">
        <v>0</v>
      </c>
      <c r="Q2638">
        <v>0</v>
      </c>
      <c r="R2638">
        <v>0</v>
      </c>
      <c r="S2638">
        <v>0</v>
      </c>
      <c r="T2638">
        <v>0</v>
      </c>
      <c r="U2638">
        <v>0</v>
      </c>
      <c r="V2638">
        <v>0</v>
      </c>
      <c r="W2638">
        <v>0</v>
      </c>
      <c r="X2638">
        <v>0</v>
      </c>
      <c r="Y2638">
        <v>0</v>
      </c>
      <c r="AG2638" t="str">
        <f>HYPERLINK("https://finance.naver.com/item/fchart.naver?code=204630", "스튜디오산타클로스 차트보기")</f>
        <v>스튜디오산타클로스 차트보기</v>
      </c>
    </row>
    <row r="2639" spans="1:33" x14ac:dyDescent="0.3">
      <c r="A2639" t="s">
        <v>10538</v>
      </c>
      <c r="B2639" t="s">
        <v>55</v>
      </c>
      <c r="C2639" t="s">
        <v>10539</v>
      </c>
      <c r="D2639">
        <v>0</v>
      </c>
      <c r="E2639" t="s">
        <v>10293</v>
      </c>
      <c r="F2639">
        <v>0</v>
      </c>
      <c r="G2639">
        <v>0</v>
      </c>
      <c r="H2639">
        <v>0</v>
      </c>
      <c r="I2639">
        <v>0</v>
      </c>
      <c r="J2639" t="s">
        <v>10540</v>
      </c>
      <c r="K2639">
        <v>889</v>
      </c>
      <c r="L2639">
        <v>889</v>
      </c>
      <c r="M2639">
        <v>0</v>
      </c>
      <c r="N2639">
        <v>0</v>
      </c>
      <c r="O2639">
        <v>0</v>
      </c>
      <c r="P2639">
        <v>0</v>
      </c>
      <c r="Q2639">
        <v>0</v>
      </c>
      <c r="R2639">
        <v>0</v>
      </c>
      <c r="S2639">
        <v>0</v>
      </c>
      <c r="T2639">
        <v>0</v>
      </c>
      <c r="U2639">
        <v>0</v>
      </c>
      <c r="V2639">
        <v>0</v>
      </c>
      <c r="W2639">
        <v>0</v>
      </c>
      <c r="X2639">
        <v>0</v>
      </c>
      <c r="Y2639">
        <v>0</v>
      </c>
      <c r="AG2639" t="str">
        <f>HYPERLINK("https://finance.naver.com/item/fchart.naver?code=269620", "시스웍 차트보기")</f>
        <v>시스웍 차트보기</v>
      </c>
    </row>
    <row r="2640" spans="1:33" x14ac:dyDescent="0.3">
      <c r="A2640" t="s">
        <v>10541</v>
      </c>
      <c r="B2640" t="s">
        <v>55</v>
      </c>
      <c r="C2640" t="s">
        <v>10542</v>
      </c>
      <c r="D2640">
        <v>0</v>
      </c>
      <c r="E2640" t="s">
        <v>10293</v>
      </c>
      <c r="F2640">
        <v>0</v>
      </c>
      <c r="G2640">
        <v>3.059999942779541</v>
      </c>
      <c r="H2640">
        <v>0</v>
      </c>
      <c r="I2640">
        <v>0</v>
      </c>
      <c r="J2640" t="s">
        <v>10543</v>
      </c>
      <c r="K2640">
        <v>6550</v>
      </c>
      <c r="L2640">
        <v>6550</v>
      </c>
      <c r="M2640">
        <v>0</v>
      </c>
      <c r="N2640">
        <v>0</v>
      </c>
      <c r="O2640">
        <v>0</v>
      </c>
      <c r="P2640">
        <v>0</v>
      </c>
      <c r="Q2640">
        <v>0</v>
      </c>
      <c r="R2640">
        <v>0</v>
      </c>
      <c r="S2640">
        <v>0</v>
      </c>
      <c r="T2640">
        <v>0</v>
      </c>
      <c r="U2640">
        <v>0</v>
      </c>
      <c r="V2640">
        <v>0</v>
      </c>
      <c r="W2640">
        <v>0</v>
      </c>
      <c r="X2640">
        <v>0</v>
      </c>
      <c r="Y2640">
        <v>0</v>
      </c>
      <c r="AG2640" t="str">
        <f>HYPERLINK("https://finance.naver.com/item/fchart.naver?code=418250", "시큐레터 차트보기")</f>
        <v>시큐레터 차트보기</v>
      </c>
    </row>
    <row r="2641" spans="1:33" x14ac:dyDescent="0.3">
      <c r="A2641" t="s">
        <v>10544</v>
      </c>
      <c r="B2641" t="s">
        <v>55</v>
      </c>
      <c r="C2641" t="s">
        <v>10545</v>
      </c>
      <c r="D2641">
        <v>6279.81</v>
      </c>
      <c r="E2641" t="s">
        <v>10546</v>
      </c>
      <c r="F2641">
        <v>0</v>
      </c>
      <c r="G2641">
        <v>0</v>
      </c>
      <c r="H2641">
        <v>0</v>
      </c>
      <c r="I2641">
        <v>0</v>
      </c>
      <c r="J2641" t="s">
        <v>10547</v>
      </c>
      <c r="K2641">
        <v>2485</v>
      </c>
      <c r="L2641">
        <v>2245</v>
      </c>
      <c r="M2641">
        <v>-9.66</v>
      </c>
      <c r="N2641">
        <v>0</v>
      </c>
      <c r="O2641">
        <v>0.45</v>
      </c>
      <c r="P2641">
        <v>0.45</v>
      </c>
      <c r="Q2641">
        <v>-5.42</v>
      </c>
      <c r="R2641">
        <v>-7.84</v>
      </c>
      <c r="S2641">
        <v>7.84</v>
      </c>
      <c r="T2641">
        <v>0</v>
      </c>
      <c r="U2641">
        <v>0.89</v>
      </c>
      <c r="V2641">
        <v>0.84</v>
      </c>
      <c r="W2641">
        <v>2.0299999999999998</v>
      </c>
      <c r="X2641">
        <v>1.57</v>
      </c>
      <c r="Y2641">
        <v>1.58</v>
      </c>
      <c r="AA2641">
        <v>0.51</v>
      </c>
      <c r="AB2641">
        <v>0.54</v>
      </c>
      <c r="AC2641">
        <v>2.67</v>
      </c>
      <c r="AD2641">
        <v>4.99</v>
      </c>
      <c r="AE2641">
        <v>4.96</v>
      </c>
      <c r="AG2641" t="str">
        <f>HYPERLINK("https://finance.naver.com/item/fchart.naver?code=418210", "신한제10호스팩 차트보기")</f>
        <v>신한제10호스팩 차트보기</v>
      </c>
    </row>
    <row r="2642" spans="1:33" x14ac:dyDescent="0.3">
      <c r="A2642" t="s">
        <v>10548</v>
      </c>
      <c r="B2642" t="s">
        <v>55</v>
      </c>
      <c r="C2642" t="s">
        <v>10549</v>
      </c>
      <c r="D2642">
        <v>3154493.05</v>
      </c>
      <c r="E2642" t="s">
        <v>10550</v>
      </c>
      <c r="F2642">
        <v>0</v>
      </c>
      <c r="G2642">
        <v>0</v>
      </c>
      <c r="H2642">
        <v>0</v>
      </c>
      <c r="I2642">
        <v>0</v>
      </c>
      <c r="J2642" t="s">
        <v>10551</v>
      </c>
      <c r="K2642">
        <v>4260</v>
      </c>
      <c r="L2642">
        <v>1665</v>
      </c>
      <c r="M2642">
        <v>-60.92</v>
      </c>
      <c r="N2642">
        <v>27.39</v>
      </c>
      <c r="O2642">
        <v>-33.450000000000003</v>
      </c>
      <c r="P2642">
        <v>-51.41</v>
      </c>
      <c r="Q2642">
        <v>0</v>
      </c>
      <c r="R2642">
        <v>0</v>
      </c>
      <c r="S2642">
        <v>0</v>
      </c>
      <c r="T2642">
        <v>7</v>
      </c>
      <c r="U2642">
        <v>2.87</v>
      </c>
      <c r="V2642">
        <v>4.0999999999999996</v>
      </c>
      <c r="W2642">
        <v>0</v>
      </c>
      <c r="X2642">
        <v>0</v>
      </c>
      <c r="Y2642">
        <v>0</v>
      </c>
      <c r="Z2642">
        <v>3.91</v>
      </c>
      <c r="AA2642">
        <v>11.66</v>
      </c>
      <c r="AB2642">
        <v>12.54</v>
      </c>
      <c r="AG2642" t="str">
        <f>HYPERLINK("https://finance.naver.com/item/fchart.naver?code=469750", "아이비젼웍스 차트보기")</f>
        <v>아이비젼웍스 차트보기</v>
      </c>
    </row>
    <row r="2643" spans="1:33" x14ac:dyDescent="0.3">
      <c r="A2643" t="s">
        <v>10552</v>
      </c>
      <c r="B2643" t="s">
        <v>55</v>
      </c>
      <c r="C2643" t="s">
        <v>10553</v>
      </c>
      <c r="D2643">
        <v>210372.57</v>
      </c>
      <c r="E2643" t="s">
        <v>10554</v>
      </c>
      <c r="F2643">
        <v>0</v>
      </c>
      <c r="G2643">
        <v>4.369999885559082</v>
      </c>
      <c r="H2643">
        <v>0</v>
      </c>
      <c r="I2643">
        <v>0</v>
      </c>
      <c r="J2643" t="s">
        <v>10555</v>
      </c>
      <c r="K2643">
        <v>13360</v>
      </c>
      <c r="L2643">
        <v>4420</v>
      </c>
      <c r="M2643">
        <v>-66.92</v>
      </c>
      <c r="N2643">
        <v>-7.05</v>
      </c>
      <c r="O2643">
        <v>-17.14</v>
      </c>
      <c r="P2643">
        <v>-25.24</v>
      </c>
      <c r="Q2643">
        <v>-39.15</v>
      </c>
      <c r="R2643">
        <v>0</v>
      </c>
      <c r="S2643">
        <v>0</v>
      </c>
      <c r="T2643">
        <v>2.99</v>
      </c>
      <c r="U2643">
        <v>3.34</v>
      </c>
      <c r="V2643">
        <v>4.3</v>
      </c>
      <c r="W2643">
        <v>7.74</v>
      </c>
      <c r="X2643">
        <v>0</v>
      </c>
      <c r="Y2643">
        <v>0</v>
      </c>
      <c r="Z2643">
        <v>2.36</v>
      </c>
      <c r="AA2643">
        <v>5.13</v>
      </c>
      <c r="AB2643">
        <v>5.87</v>
      </c>
      <c r="AC2643">
        <v>5.0599999999999996</v>
      </c>
      <c r="AG2643" t="str">
        <f>HYPERLINK("https://finance.naver.com/item/fchart.naver?code=460470", "아이빔테크놀로지 차트보기")</f>
        <v>아이빔테크놀로지 차트보기</v>
      </c>
    </row>
    <row r="2644" spans="1:33" x14ac:dyDescent="0.3">
      <c r="A2644" t="s">
        <v>10556</v>
      </c>
      <c r="B2644" t="s">
        <v>55</v>
      </c>
      <c r="C2644" t="s">
        <v>10557</v>
      </c>
      <c r="D2644">
        <v>287592.62</v>
      </c>
      <c r="E2644" t="s">
        <v>10558</v>
      </c>
      <c r="F2644">
        <v>5.31</v>
      </c>
      <c r="G2644">
        <v>1.919999957084656</v>
      </c>
      <c r="H2644">
        <v>2851</v>
      </c>
      <c r="I2644">
        <v>0</v>
      </c>
      <c r="J2644" t="s">
        <v>10559</v>
      </c>
      <c r="K2644">
        <v>22500</v>
      </c>
      <c r="L2644">
        <v>15140</v>
      </c>
      <c r="M2644">
        <v>-32.71</v>
      </c>
      <c r="N2644">
        <v>-8.3000000000000007</v>
      </c>
      <c r="O2644">
        <v>-9.24</v>
      </c>
      <c r="P2644">
        <v>-26.94</v>
      </c>
      <c r="Q2644">
        <v>0</v>
      </c>
      <c r="R2644">
        <v>0</v>
      </c>
      <c r="S2644">
        <v>0</v>
      </c>
      <c r="T2644">
        <v>8.11</v>
      </c>
      <c r="U2644">
        <v>3.39</v>
      </c>
      <c r="V2644">
        <v>3.88</v>
      </c>
      <c r="X2644">
        <v>0</v>
      </c>
      <c r="Y2644">
        <v>0</v>
      </c>
      <c r="Z2644">
        <v>1.02</v>
      </c>
      <c r="AA2644">
        <v>2.73</v>
      </c>
      <c r="AB2644">
        <v>6.94</v>
      </c>
      <c r="AG2644" t="str">
        <f>HYPERLINK("https://finance.naver.com/item/fchart.naver?code=461300", "아이스크림미디어 차트보기")</f>
        <v>아이스크림미디어 차트보기</v>
      </c>
    </row>
    <row r="2645" spans="1:33" x14ac:dyDescent="0.3">
      <c r="A2645" t="s">
        <v>10560</v>
      </c>
      <c r="B2645" t="s">
        <v>55</v>
      </c>
      <c r="C2645" t="s">
        <v>10561</v>
      </c>
      <c r="D2645">
        <v>528453.05000000005</v>
      </c>
      <c r="E2645" t="s">
        <v>10562</v>
      </c>
      <c r="F2645">
        <v>0</v>
      </c>
      <c r="G2645">
        <v>2.839999914169312</v>
      </c>
      <c r="H2645">
        <v>0</v>
      </c>
      <c r="I2645">
        <v>0</v>
      </c>
      <c r="J2645" t="s">
        <v>10563</v>
      </c>
      <c r="K2645">
        <v>10900</v>
      </c>
      <c r="L2645">
        <v>3865</v>
      </c>
      <c r="M2645">
        <v>-64.540000000000006</v>
      </c>
      <c r="N2645">
        <v>-2.77</v>
      </c>
      <c r="O2645">
        <v>-51.94</v>
      </c>
      <c r="P2645">
        <v>-18.53</v>
      </c>
      <c r="Q2645">
        <v>0</v>
      </c>
      <c r="R2645">
        <v>0</v>
      </c>
      <c r="S2645">
        <v>0</v>
      </c>
      <c r="T2645">
        <v>4.05</v>
      </c>
      <c r="U2645">
        <v>3.74</v>
      </c>
      <c r="V2645">
        <v>14.04</v>
      </c>
      <c r="W2645">
        <v>0</v>
      </c>
      <c r="X2645">
        <v>0</v>
      </c>
      <c r="Y2645">
        <v>0</v>
      </c>
      <c r="Z2645">
        <v>0.68</v>
      </c>
      <c r="AA2645">
        <v>13.89</v>
      </c>
      <c r="AB2645">
        <v>1.32</v>
      </c>
      <c r="AG2645" t="str">
        <f>HYPERLINK("https://finance.naver.com/item/fchart.naver?code=464500", "아이언디바이스 차트보기")</f>
        <v>아이언디바이스 차트보기</v>
      </c>
    </row>
    <row r="2646" spans="1:33" x14ac:dyDescent="0.3">
      <c r="A2646" t="s">
        <v>10564</v>
      </c>
      <c r="B2646" t="s">
        <v>55</v>
      </c>
      <c r="C2646" t="s">
        <v>10565</v>
      </c>
      <c r="D2646">
        <v>0</v>
      </c>
      <c r="E2646" t="s">
        <v>10293</v>
      </c>
      <c r="F2646">
        <v>0</v>
      </c>
      <c r="G2646">
        <v>3.529999971389771</v>
      </c>
      <c r="H2646">
        <v>0</v>
      </c>
      <c r="I2646">
        <v>0</v>
      </c>
      <c r="J2646" t="s">
        <v>10566</v>
      </c>
      <c r="K2646">
        <v>2965</v>
      </c>
      <c r="L2646">
        <v>2965</v>
      </c>
      <c r="M2646">
        <v>0</v>
      </c>
      <c r="N2646">
        <v>0</v>
      </c>
      <c r="O2646">
        <v>0</v>
      </c>
      <c r="P2646">
        <v>0</v>
      </c>
      <c r="Q2646">
        <v>0</v>
      </c>
      <c r="R2646">
        <v>0</v>
      </c>
      <c r="S2646">
        <v>0</v>
      </c>
      <c r="T2646">
        <v>0</v>
      </c>
      <c r="U2646">
        <v>0</v>
      </c>
      <c r="V2646">
        <v>0</v>
      </c>
      <c r="W2646">
        <v>0</v>
      </c>
      <c r="X2646">
        <v>0</v>
      </c>
      <c r="Y2646">
        <v>0</v>
      </c>
      <c r="AG2646" t="str">
        <f>HYPERLINK("https://finance.naver.com/item/fchart.naver?code=096610", "알에프세미 차트보기")</f>
        <v>알에프세미 차트보기</v>
      </c>
    </row>
    <row r="2647" spans="1:33" x14ac:dyDescent="0.3">
      <c r="A2647" t="s">
        <v>10567</v>
      </c>
      <c r="B2647" t="s">
        <v>55</v>
      </c>
      <c r="C2647" t="s">
        <v>10568</v>
      </c>
      <c r="D2647">
        <v>0</v>
      </c>
      <c r="E2647" t="s">
        <v>10293</v>
      </c>
      <c r="F2647">
        <v>0</v>
      </c>
      <c r="G2647">
        <v>1.029999971389771</v>
      </c>
      <c r="H2647">
        <v>0</v>
      </c>
      <c r="I2647">
        <v>0</v>
      </c>
      <c r="J2647" t="s">
        <v>10569</v>
      </c>
      <c r="K2647">
        <v>945</v>
      </c>
      <c r="L2647">
        <v>945</v>
      </c>
      <c r="M2647">
        <v>0</v>
      </c>
      <c r="N2647">
        <v>0</v>
      </c>
      <c r="O2647">
        <v>0</v>
      </c>
      <c r="P2647">
        <v>0</v>
      </c>
      <c r="Q2647">
        <v>0</v>
      </c>
      <c r="R2647">
        <v>0</v>
      </c>
      <c r="S2647">
        <v>0</v>
      </c>
      <c r="T2647">
        <v>0</v>
      </c>
      <c r="U2647">
        <v>0</v>
      </c>
      <c r="V2647">
        <v>0</v>
      </c>
      <c r="W2647">
        <v>0</v>
      </c>
      <c r="X2647">
        <v>0</v>
      </c>
      <c r="Y2647">
        <v>0</v>
      </c>
      <c r="AG2647" t="str">
        <f>HYPERLINK("https://finance.naver.com/item/fchart.naver?code=117670", "알파홀딩스 차트보기")</f>
        <v>알파홀딩스 차트보기</v>
      </c>
    </row>
    <row r="2648" spans="1:33" x14ac:dyDescent="0.3">
      <c r="A2648" t="s">
        <v>10570</v>
      </c>
      <c r="B2648" t="s">
        <v>55</v>
      </c>
      <c r="C2648" t="s">
        <v>10571</v>
      </c>
      <c r="D2648">
        <v>0</v>
      </c>
      <c r="E2648" t="s">
        <v>10293</v>
      </c>
      <c r="F2648">
        <v>0</v>
      </c>
      <c r="G2648">
        <v>19.659999847412109</v>
      </c>
      <c r="H2648">
        <v>0</v>
      </c>
      <c r="I2648">
        <v>0</v>
      </c>
      <c r="J2648" t="s">
        <v>10572</v>
      </c>
      <c r="K2648">
        <v>6880</v>
      </c>
      <c r="L2648">
        <v>6880</v>
      </c>
      <c r="M2648">
        <v>0</v>
      </c>
      <c r="N2648">
        <v>0</v>
      </c>
      <c r="O2648">
        <v>0</v>
      </c>
      <c r="P2648">
        <v>0</v>
      </c>
      <c r="Q2648">
        <v>0</v>
      </c>
      <c r="R2648">
        <v>0</v>
      </c>
      <c r="S2648">
        <v>0</v>
      </c>
      <c r="T2648">
        <v>0</v>
      </c>
      <c r="U2648">
        <v>0</v>
      </c>
      <c r="V2648">
        <v>0</v>
      </c>
      <c r="W2648">
        <v>0</v>
      </c>
      <c r="X2648">
        <v>0</v>
      </c>
      <c r="Y2648">
        <v>0</v>
      </c>
      <c r="AG2648" t="str">
        <f>HYPERLINK("https://finance.naver.com/item/fchart.naver?code=299910", "애닉 차트보기")</f>
        <v>애닉 차트보기</v>
      </c>
    </row>
    <row r="2649" spans="1:33" x14ac:dyDescent="0.3">
      <c r="A2649" t="s">
        <v>10573</v>
      </c>
      <c r="B2649" t="s">
        <v>55</v>
      </c>
      <c r="C2649" t="s">
        <v>10574</v>
      </c>
      <c r="D2649">
        <v>3526845.94</v>
      </c>
      <c r="E2649" t="s">
        <v>10575</v>
      </c>
      <c r="F2649">
        <v>0</v>
      </c>
      <c r="G2649">
        <v>0</v>
      </c>
      <c r="H2649">
        <v>0</v>
      </c>
      <c r="I2649">
        <v>0</v>
      </c>
      <c r="J2649" t="s">
        <v>10576</v>
      </c>
      <c r="K2649">
        <v>5950</v>
      </c>
      <c r="L2649">
        <v>17</v>
      </c>
      <c r="M2649">
        <v>-99.71</v>
      </c>
      <c r="N2649">
        <v>-59.52</v>
      </c>
      <c r="O2649">
        <v>-99.13</v>
      </c>
      <c r="P2649">
        <v>0</v>
      </c>
      <c r="Q2649">
        <v>0</v>
      </c>
      <c r="R2649">
        <v>0</v>
      </c>
      <c r="S2649">
        <v>0</v>
      </c>
      <c r="T2649">
        <v>12.15</v>
      </c>
      <c r="U2649">
        <v>22.97</v>
      </c>
      <c r="V2649">
        <v>0</v>
      </c>
      <c r="W2649">
        <v>0</v>
      </c>
      <c r="X2649">
        <v>0</v>
      </c>
      <c r="Y2649">
        <v>0</v>
      </c>
      <c r="Z2649">
        <v>4.9000000000000004</v>
      </c>
      <c r="AA2649">
        <v>4.32</v>
      </c>
      <c r="AG2649" t="str">
        <f>HYPERLINK("https://finance.naver.com/item/fchart.naver?code=263540", "어스앤에어로스페이스 차트보기")</f>
        <v>어스앤에어로스페이스 차트보기</v>
      </c>
    </row>
    <row r="2650" spans="1:33" x14ac:dyDescent="0.3">
      <c r="A2650" t="s">
        <v>10577</v>
      </c>
      <c r="B2650" t="s">
        <v>55</v>
      </c>
      <c r="C2650" t="s">
        <v>10578</v>
      </c>
      <c r="D2650">
        <v>0</v>
      </c>
      <c r="E2650" t="s">
        <v>10293</v>
      </c>
      <c r="F2650">
        <v>0</v>
      </c>
      <c r="G2650">
        <v>1.2400000095367429</v>
      </c>
      <c r="H2650">
        <v>0</v>
      </c>
      <c r="I2650">
        <v>0</v>
      </c>
      <c r="J2650" t="s">
        <v>10579</v>
      </c>
      <c r="K2650">
        <v>499</v>
      </c>
      <c r="L2650">
        <v>499</v>
      </c>
      <c r="M2650">
        <v>0</v>
      </c>
      <c r="N2650">
        <v>0</v>
      </c>
      <c r="O2650">
        <v>0</v>
      </c>
      <c r="P2650">
        <v>0</v>
      </c>
      <c r="Q2650">
        <v>0</v>
      </c>
      <c r="R2650">
        <v>0</v>
      </c>
      <c r="S2650">
        <v>0</v>
      </c>
      <c r="T2650">
        <v>0</v>
      </c>
      <c r="U2650">
        <v>0</v>
      </c>
      <c r="V2650">
        <v>0</v>
      </c>
      <c r="W2650">
        <v>0</v>
      </c>
      <c r="X2650">
        <v>0</v>
      </c>
      <c r="Y2650">
        <v>0</v>
      </c>
      <c r="AG2650" t="str">
        <f>HYPERLINK("https://finance.naver.com/item/fchart.naver?code=217480", "에스디생명공학 차트보기")</f>
        <v>에스디생명공학 차트보기</v>
      </c>
    </row>
    <row r="2651" spans="1:33" x14ac:dyDescent="0.3">
      <c r="A2651" t="s">
        <v>10580</v>
      </c>
      <c r="B2651" t="s">
        <v>55</v>
      </c>
      <c r="C2651" t="s">
        <v>10581</v>
      </c>
      <c r="D2651">
        <v>0</v>
      </c>
      <c r="E2651" t="s">
        <v>10293</v>
      </c>
      <c r="F2651">
        <v>0</v>
      </c>
      <c r="G2651">
        <v>0.75999999046325684</v>
      </c>
      <c r="H2651">
        <v>0</v>
      </c>
      <c r="I2651">
        <v>0</v>
      </c>
      <c r="J2651" t="s">
        <v>10582</v>
      </c>
      <c r="K2651">
        <v>6120</v>
      </c>
      <c r="L2651">
        <v>6120</v>
      </c>
      <c r="M2651">
        <v>0</v>
      </c>
      <c r="N2651">
        <v>0</v>
      </c>
      <c r="O2651">
        <v>0</v>
      </c>
      <c r="P2651">
        <v>0</v>
      </c>
      <c r="Q2651">
        <v>0</v>
      </c>
      <c r="R2651">
        <v>0</v>
      </c>
      <c r="S2651">
        <v>0</v>
      </c>
      <c r="T2651">
        <v>0</v>
      </c>
      <c r="U2651">
        <v>0</v>
      </c>
      <c r="V2651">
        <v>0</v>
      </c>
      <c r="W2651">
        <v>0</v>
      </c>
      <c r="X2651">
        <v>0</v>
      </c>
      <c r="Y2651">
        <v>0</v>
      </c>
      <c r="AG2651" t="str">
        <f>HYPERLINK("https://finance.naver.com/item/fchart.naver?code=214310", "에스엘에너지 차트보기")</f>
        <v>에스엘에너지 차트보기</v>
      </c>
    </row>
    <row r="2652" spans="1:33" x14ac:dyDescent="0.3">
      <c r="A2652" t="s">
        <v>10583</v>
      </c>
      <c r="B2652" t="s">
        <v>55</v>
      </c>
      <c r="C2652" t="s">
        <v>10584</v>
      </c>
      <c r="D2652">
        <v>9923.76</v>
      </c>
      <c r="E2652" t="s">
        <v>10585</v>
      </c>
      <c r="F2652">
        <v>0</v>
      </c>
      <c r="G2652">
        <v>0</v>
      </c>
      <c r="H2652">
        <v>0</v>
      </c>
      <c r="I2652">
        <v>0</v>
      </c>
      <c r="J2652" t="s">
        <v>10586</v>
      </c>
      <c r="K2652">
        <v>2065</v>
      </c>
      <c r="L2652">
        <v>2065</v>
      </c>
      <c r="M2652">
        <v>0</v>
      </c>
      <c r="N2652">
        <v>0.24</v>
      </c>
      <c r="O2652">
        <v>0.24</v>
      </c>
      <c r="P2652">
        <v>-0.24</v>
      </c>
      <c r="Q2652">
        <v>-1.9</v>
      </c>
      <c r="R2652">
        <v>1.45</v>
      </c>
      <c r="S2652">
        <v>0</v>
      </c>
      <c r="T2652">
        <v>0.3</v>
      </c>
      <c r="U2652">
        <v>0.43</v>
      </c>
      <c r="V2652">
        <v>0.27</v>
      </c>
      <c r="W2652">
        <v>0.3</v>
      </c>
      <c r="X2652">
        <v>0.42</v>
      </c>
      <c r="Y2652">
        <v>0</v>
      </c>
      <c r="Z2652">
        <v>0.8</v>
      </c>
      <c r="AA2652">
        <v>0.56000000000000005</v>
      </c>
      <c r="AB2652">
        <v>0.89</v>
      </c>
      <c r="AC2652">
        <v>6.33</v>
      </c>
      <c r="AD2652">
        <v>3.45</v>
      </c>
      <c r="AG2652" t="str">
        <f>HYPERLINK("https://finance.naver.com/item/fchart.naver?code=473950", "에스케이증권제13호스팩 차트보기")</f>
        <v>에스케이증권제13호스팩 차트보기</v>
      </c>
    </row>
    <row r="2653" spans="1:33" x14ac:dyDescent="0.3">
      <c r="A2653" t="s">
        <v>10587</v>
      </c>
      <c r="B2653" t="s">
        <v>55</v>
      </c>
      <c r="C2653" t="s">
        <v>10588</v>
      </c>
      <c r="D2653">
        <v>0</v>
      </c>
      <c r="E2653" t="s">
        <v>10293</v>
      </c>
      <c r="F2653">
        <v>0</v>
      </c>
      <c r="G2653">
        <v>0.62999999523162842</v>
      </c>
      <c r="H2653">
        <v>0</v>
      </c>
      <c r="I2653">
        <v>0</v>
      </c>
      <c r="J2653" t="s">
        <v>10589</v>
      </c>
      <c r="K2653">
        <v>158</v>
      </c>
      <c r="L2653">
        <v>158</v>
      </c>
      <c r="M2653">
        <v>0</v>
      </c>
      <c r="N2653">
        <v>0</v>
      </c>
      <c r="O2653">
        <v>0</v>
      </c>
      <c r="P2653">
        <v>0</v>
      </c>
      <c r="Q2653">
        <v>0</v>
      </c>
      <c r="R2653">
        <v>0</v>
      </c>
      <c r="S2653">
        <v>0</v>
      </c>
      <c r="T2653">
        <v>0</v>
      </c>
      <c r="U2653">
        <v>0</v>
      </c>
      <c r="V2653">
        <v>0</v>
      </c>
      <c r="W2653">
        <v>0</v>
      </c>
      <c r="X2653">
        <v>0</v>
      </c>
      <c r="Y2653">
        <v>0</v>
      </c>
      <c r="AG2653" t="str">
        <f>HYPERLINK("https://finance.naver.com/item/fchart.naver?code=054630", "에이디칩스 차트보기")</f>
        <v>에이디칩스 차트보기</v>
      </c>
    </row>
    <row r="2654" spans="1:33" x14ac:dyDescent="0.3">
      <c r="A2654" t="s">
        <v>10590</v>
      </c>
      <c r="B2654" t="s">
        <v>55</v>
      </c>
      <c r="C2654" t="s">
        <v>10591</v>
      </c>
      <c r="D2654">
        <v>1448545.62</v>
      </c>
      <c r="E2654" t="s">
        <v>10592</v>
      </c>
      <c r="F2654">
        <v>0</v>
      </c>
      <c r="G2654">
        <v>8.6099996566772461</v>
      </c>
      <c r="H2654">
        <v>0</v>
      </c>
      <c r="I2654">
        <v>0</v>
      </c>
      <c r="J2654" t="s">
        <v>10593</v>
      </c>
      <c r="K2654">
        <v>20200</v>
      </c>
      <c r="L2654">
        <v>27700</v>
      </c>
      <c r="M2654">
        <v>37.130000000000003</v>
      </c>
      <c r="N2654">
        <v>70.78</v>
      </c>
      <c r="O2654">
        <v>5.67</v>
      </c>
      <c r="P2654">
        <v>8.5399999999999991</v>
      </c>
      <c r="Q2654">
        <v>28.61</v>
      </c>
      <c r="R2654">
        <v>-41.11</v>
      </c>
      <c r="S2654">
        <v>0</v>
      </c>
      <c r="T2654">
        <v>10.35</v>
      </c>
      <c r="U2654">
        <v>6.1</v>
      </c>
      <c r="V2654">
        <v>5.51</v>
      </c>
      <c r="W2654">
        <v>7.38</v>
      </c>
      <c r="X2654">
        <v>4.46</v>
      </c>
      <c r="Z2654">
        <v>6.84</v>
      </c>
      <c r="AA2654">
        <v>0.93</v>
      </c>
      <c r="AB2654">
        <v>1.55</v>
      </c>
      <c r="AC2654">
        <v>3.88</v>
      </c>
      <c r="AD2654">
        <v>9.2200000000000006</v>
      </c>
      <c r="AG2654" t="str">
        <f>HYPERLINK("https://finance.naver.com/item/fchart.naver?code=295310", "에이치브이엠 차트보기")</f>
        <v>에이치브이엠 차트보기</v>
      </c>
    </row>
    <row r="2655" spans="1:33" x14ac:dyDescent="0.3">
      <c r="A2655" t="s">
        <v>10594</v>
      </c>
      <c r="B2655" t="s">
        <v>55</v>
      </c>
      <c r="C2655" t="s">
        <v>10595</v>
      </c>
      <c r="D2655">
        <v>534330.62</v>
      </c>
      <c r="E2655" t="s">
        <v>10596</v>
      </c>
      <c r="F2655">
        <v>0</v>
      </c>
      <c r="G2655">
        <v>20.079999923706051</v>
      </c>
      <c r="H2655">
        <v>0</v>
      </c>
      <c r="I2655">
        <v>0</v>
      </c>
      <c r="J2655" t="s">
        <v>10597</v>
      </c>
      <c r="K2655">
        <v>8330</v>
      </c>
      <c r="L2655">
        <v>5220</v>
      </c>
      <c r="M2655">
        <v>-37.33</v>
      </c>
      <c r="N2655">
        <v>-5.78</v>
      </c>
      <c r="O2655">
        <v>-26.05</v>
      </c>
      <c r="P2655">
        <v>4.71</v>
      </c>
      <c r="Q2655">
        <v>-0.16</v>
      </c>
      <c r="R2655">
        <v>-22.45</v>
      </c>
      <c r="S2655">
        <v>0</v>
      </c>
      <c r="T2655">
        <v>3.83</v>
      </c>
      <c r="U2655">
        <v>3.89</v>
      </c>
      <c r="V2655">
        <v>13</v>
      </c>
      <c r="W2655">
        <v>11.34</v>
      </c>
      <c r="X2655">
        <v>4.04</v>
      </c>
      <c r="Y2655">
        <v>0</v>
      </c>
      <c r="Z2655">
        <v>1.51</v>
      </c>
      <c r="AA2655">
        <v>6.7</v>
      </c>
      <c r="AB2655">
        <v>0.36</v>
      </c>
      <c r="AC2655">
        <v>0.01</v>
      </c>
      <c r="AD2655">
        <v>5.56</v>
      </c>
      <c r="AG2655" t="str">
        <f>HYPERLINK("https://finance.naver.com/item/fchart.naver?code=373110", "엑셀세라퓨틱스 차트보기")</f>
        <v>엑셀세라퓨틱스 차트보기</v>
      </c>
    </row>
    <row r="2656" spans="1:33" x14ac:dyDescent="0.3">
      <c r="A2656" t="s">
        <v>10598</v>
      </c>
      <c r="B2656" t="s">
        <v>55</v>
      </c>
      <c r="C2656" t="s">
        <v>10599</v>
      </c>
      <c r="D2656">
        <v>26404.29</v>
      </c>
      <c r="E2656" t="s">
        <v>10600</v>
      </c>
      <c r="F2656">
        <v>0</v>
      </c>
      <c r="G2656">
        <v>0</v>
      </c>
      <c r="H2656">
        <v>0</v>
      </c>
      <c r="I2656">
        <v>0</v>
      </c>
      <c r="J2656" t="s">
        <v>10601</v>
      </c>
      <c r="K2656">
        <v>2145</v>
      </c>
      <c r="L2656">
        <v>2115</v>
      </c>
      <c r="M2656">
        <v>-1.4</v>
      </c>
      <c r="N2656">
        <v>0</v>
      </c>
      <c r="O2656">
        <v>0.48</v>
      </c>
      <c r="P2656">
        <v>0</v>
      </c>
      <c r="Q2656">
        <v>-2.56</v>
      </c>
      <c r="R2656">
        <v>0</v>
      </c>
      <c r="S2656">
        <v>0</v>
      </c>
      <c r="T2656">
        <v>0.23</v>
      </c>
      <c r="U2656">
        <v>0.25</v>
      </c>
      <c r="V2656">
        <v>0.28999999999999998</v>
      </c>
      <c r="W2656">
        <v>0.49</v>
      </c>
      <c r="X2656">
        <v>0</v>
      </c>
      <c r="Y2656">
        <v>0</v>
      </c>
      <c r="Z2656">
        <v>0</v>
      </c>
      <c r="AA2656">
        <v>1.92</v>
      </c>
      <c r="AB2656">
        <v>0</v>
      </c>
      <c r="AC2656">
        <v>5.22</v>
      </c>
      <c r="AG2656" t="str">
        <f>HYPERLINK("https://finance.naver.com/item/fchart.naver?code=422040", "엔에이치스팩23호 차트보기")</f>
        <v>엔에이치스팩23호 차트보기</v>
      </c>
    </row>
    <row r="2657" spans="1:33" x14ac:dyDescent="0.3">
      <c r="A2657" t="s">
        <v>10602</v>
      </c>
      <c r="B2657" t="s">
        <v>55</v>
      </c>
      <c r="C2657" t="s">
        <v>10603</v>
      </c>
      <c r="D2657">
        <v>17458.52</v>
      </c>
      <c r="E2657" t="s">
        <v>10604</v>
      </c>
      <c r="F2657">
        <v>0</v>
      </c>
      <c r="G2657">
        <v>0</v>
      </c>
      <c r="H2657">
        <v>0</v>
      </c>
      <c r="I2657">
        <v>0</v>
      </c>
      <c r="J2657" t="s">
        <v>10605</v>
      </c>
      <c r="K2657">
        <v>2020</v>
      </c>
      <c r="L2657">
        <v>2025</v>
      </c>
      <c r="M2657">
        <v>0.25</v>
      </c>
      <c r="N2657">
        <v>0.25</v>
      </c>
      <c r="O2657">
        <v>0.25</v>
      </c>
      <c r="P2657">
        <v>-0.49</v>
      </c>
      <c r="Q2657">
        <v>-1.46</v>
      </c>
      <c r="R2657">
        <v>1.24</v>
      </c>
      <c r="S2657">
        <v>0</v>
      </c>
      <c r="T2657">
        <v>0.28999999999999998</v>
      </c>
      <c r="U2657">
        <v>0.32</v>
      </c>
      <c r="V2657">
        <v>0.24</v>
      </c>
      <c r="W2657">
        <v>0.41</v>
      </c>
      <c r="X2657">
        <v>0.38</v>
      </c>
      <c r="Y2657">
        <v>0</v>
      </c>
      <c r="Z2657">
        <v>0.86</v>
      </c>
      <c r="AA2657">
        <v>0.78</v>
      </c>
      <c r="AB2657">
        <v>2.04</v>
      </c>
      <c r="AC2657">
        <v>3.56</v>
      </c>
      <c r="AD2657">
        <v>3.26</v>
      </c>
      <c r="AG2657" t="str">
        <f>HYPERLINK("https://finance.naver.com/item/fchart.naver?code=481890", "엔에이치스팩31호 차트보기")</f>
        <v>엔에이치스팩31호 차트보기</v>
      </c>
    </row>
    <row r="2658" spans="1:33" x14ac:dyDescent="0.3">
      <c r="A2658" t="s">
        <v>10606</v>
      </c>
      <c r="B2658" t="s">
        <v>55</v>
      </c>
      <c r="C2658" t="s">
        <v>10607</v>
      </c>
      <c r="D2658">
        <v>0</v>
      </c>
      <c r="E2658" t="s">
        <v>10293</v>
      </c>
      <c r="F2658">
        <v>0</v>
      </c>
      <c r="G2658">
        <v>3.0199999809265141</v>
      </c>
      <c r="H2658">
        <v>0</v>
      </c>
      <c r="I2658">
        <v>0</v>
      </c>
      <c r="J2658" t="s">
        <v>10608</v>
      </c>
      <c r="K2658">
        <v>2205</v>
      </c>
      <c r="L2658">
        <v>2205</v>
      </c>
      <c r="M2658">
        <v>0</v>
      </c>
      <c r="N2658">
        <v>0</v>
      </c>
      <c r="O2658">
        <v>0</v>
      </c>
      <c r="P2658">
        <v>0</v>
      </c>
      <c r="Q2658">
        <v>0</v>
      </c>
      <c r="R2658">
        <v>0</v>
      </c>
      <c r="S2658">
        <v>0</v>
      </c>
      <c r="T2658">
        <v>0</v>
      </c>
      <c r="U2658">
        <v>0</v>
      </c>
      <c r="V2658">
        <v>0</v>
      </c>
      <c r="W2658">
        <v>0</v>
      </c>
      <c r="X2658">
        <v>0</v>
      </c>
      <c r="Y2658">
        <v>0</v>
      </c>
      <c r="AG2658" t="str">
        <f>HYPERLINK("https://finance.naver.com/item/fchart.naver?code=208860", "엔지스테크널러지 차트보기")</f>
        <v>엔지스테크널러지 차트보기</v>
      </c>
    </row>
    <row r="2659" spans="1:33" x14ac:dyDescent="0.3">
      <c r="A2659" t="s">
        <v>10609</v>
      </c>
      <c r="B2659" t="s">
        <v>55</v>
      </c>
      <c r="C2659" t="s">
        <v>10610</v>
      </c>
      <c r="D2659">
        <v>0</v>
      </c>
      <c r="E2659" t="s">
        <v>10293</v>
      </c>
      <c r="F2659">
        <v>31.08</v>
      </c>
      <c r="G2659">
        <v>1.4900000095367429</v>
      </c>
      <c r="H2659">
        <v>65</v>
      </c>
      <c r="I2659">
        <v>0</v>
      </c>
      <c r="J2659" t="s">
        <v>10611</v>
      </c>
      <c r="K2659">
        <v>2020</v>
      </c>
      <c r="L2659">
        <v>2020</v>
      </c>
      <c r="M2659">
        <v>0</v>
      </c>
      <c r="N2659">
        <v>0</v>
      </c>
      <c r="O2659">
        <v>0</v>
      </c>
      <c r="P2659">
        <v>0</v>
      </c>
      <c r="Q2659">
        <v>0</v>
      </c>
      <c r="R2659">
        <v>0</v>
      </c>
      <c r="S2659">
        <v>0</v>
      </c>
      <c r="T2659">
        <v>0</v>
      </c>
      <c r="U2659">
        <v>0</v>
      </c>
      <c r="V2659">
        <v>0</v>
      </c>
      <c r="W2659">
        <v>0</v>
      </c>
      <c r="X2659">
        <v>0</v>
      </c>
      <c r="Y2659">
        <v>0</v>
      </c>
      <c r="AG2659" t="str">
        <f>HYPERLINK("https://finance.naver.com/item/fchart.naver?code=182400", "엔케이맥스 차트보기")</f>
        <v>엔케이맥스 차트보기</v>
      </c>
    </row>
    <row r="2660" spans="1:33" x14ac:dyDescent="0.3">
      <c r="A2660" t="s">
        <v>10612</v>
      </c>
      <c r="B2660" t="s">
        <v>55</v>
      </c>
      <c r="C2660" t="s">
        <v>10613</v>
      </c>
      <c r="D2660">
        <v>0</v>
      </c>
      <c r="E2660" t="s">
        <v>10293</v>
      </c>
      <c r="F2660">
        <v>5.39</v>
      </c>
      <c r="G2660">
        <v>1.309999942779541</v>
      </c>
      <c r="H2660">
        <v>171</v>
      </c>
      <c r="I2660">
        <v>0</v>
      </c>
      <c r="J2660" t="s">
        <v>10614</v>
      </c>
      <c r="K2660">
        <v>921</v>
      </c>
      <c r="L2660">
        <v>921</v>
      </c>
      <c r="M2660">
        <v>0</v>
      </c>
      <c r="N2660">
        <v>0</v>
      </c>
      <c r="O2660">
        <v>0</v>
      </c>
      <c r="P2660">
        <v>0</v>
      </c>
      <c r="Q2660">
        <v>0</v>
      </c>
      <c r="R2660">
        <v>0</v>
      </c>
      <c r="S2660">
        <v>0</v>
      </c>
      <c r="T2660">
        <v>0</v>
      </c>
      <c r="U2660">
        <v>0</v>
      </c>
      <c r="V2660">
        <v>0</v>
      </c>
      <c r="W2660">
        <v>0</v>
      </c>
      <c r="X2660">
        <v>0</v>
      </c>
      <c r="Y2660">
        <v>0</v>
      </c>
      <c r="AG2660" t="str">
        <f>HYPERLINK("https://finance.naver.com/item/fchart.naver?code=019590", "엠벤처투자 차트보기")</f>
        <v>엠벤처투자 차트보기</v>
      </c>
    </row>
    <row r="2661" spans="1:33" x14ac:dyDescent="0.3">
      <c r="A2661" t="s">
        <v>10615</v>
      </c>
      <c r="B2661" t="s">
        <v>55</v>
      </c>
      <c r="C2661" t="s">
        <v>10616</v>
      </c>
      <c r="D2661">
        <v>0</v>
      </c>
      <c r="E2661" t="s">
        <v>10293</v>
      </c>
      <c r="F2661">
        <v>0</v>
      </c>
      <c r="G2661">
        <v>0.31000000238418579</v>
      </c>
      <c r="H2661">
        <v>0</v>
      </c>
      <c r="I2661">
        <v>0</v>
      </c>
      <c r="J2661" t="s">
        <v>10617</v>
      </c>
      <c r="K2661">
        <v>634</v>
      </c>
      <c r="L2661">
        <v>161</v>
      </c>
      <c r="M2661">
        <v>-74.61</v>
      </c>
      <c r="N2661">
        <v>0</v>
      </c>
      <c r="O2661">
        <v>0</v>
      </c>
      <c r="P2661">
        <v>0</v>
      </c>
      <c r="Q2661">
        <v>0</v>
      </c>
      <c r="R2661">
        <v>-36.11</v>
      </c>
      <c r="S2661">
        <v>-35.92</v>
      </c>
      <c r="T2661">
        <v>0</v>
      </c>
      <c r="U2661">
        <v>0</v>
      </c>
      <c r="V2661">
        <v>0</v>
      </c>
      <c r="W2661">
        <v>0</v>
      </c>
      <c r="X2661">
        <v>9.0500000000000007</v>
      </c>
      <c r="Y2661">
        <v>5.76</v>
      </c>
      <c r="AD2661">
        <v>3.99</v>
      </c>
      <c r="AE2661">
        <v>6.24</v>
      </c>
      <c r="AG2661" t="str">
        <f>HYPERLINK("https://finance.naver.com/item/fchart.naver?code=323230", "엠에프엠코리아 차트보기")</f>
        <v>엠에프엠코리아 차트보기</v>
      </c>
    </row>
    <row r="2662" spans="1:33" x14ac:dyDescent="0.3">
      <c r="A2662" t="s">
        <v>10618</v>
      </c>
      <c r="B2662" t="s">
        <v>55</v>
      </c>
      <c r="C2662" t="s">
        <v>10619</v>
      </c>
      <c r="D2662">
        <v>0</v>
      </c>
      <c r="E2662" t="s">
        <v>10293</v>
      </c>
      <c r="F2662">
        <v>0</v>
      </c>
      <c r="G2662">
        <v>0</v>
      </c>
      <c r="H2662">
        <v>0</v>
      </c>
      <c r="I2662">
        <v>0</v>
      </c>
      <c r="J2662" t="s">
        <v>10620</v>
      </c>
      <c r="K2662">
        <v>613</v>
      </c>
      <c r="L2662">
        <v>613</v>
      </c>
      <c r="M2662">
        <v>0</v>
      </c>
      <c r="N2662">
        <v>0</v>
      </c>
      <c r="O2662">
        <v>0</v>
      </c>
      <c r="P2662">
        <v>0</v>
      </c>
      <c r="Q2662">
        <v>0</v>
      </c>
      <c r="R2662">
        <v>0</v>
      </c>
      <c r="S2662">
        <v>0</v>
      </c>
      <c r="T2662">
        <v>0</v>
      </c>
      <c r="U2662">
        <v>0</v>
      </c>
      <c r="V2662">
        <v>0</v>
      </c>
      <c r="W2662">
        <v>0</v>
      </c>
      <c r="X2662">
        <v>0</v>
      </c>
      <c r="Y2662">
        <v>0</v>
      </c>
      <c r="AG2662" t="str">
        <f>HYPERLINK("https://finance.naver.com/item/fchart.naver?code=071460", "위니아 차트보기")</f>
        <v>위니아 차트보기</v>
      </c>
    </row>
    <row r="2663" spans="1:33" x14ac:dyDescent="0.3">
      <c r="A2663" t="s">
        <v>10621</v>
      </c>
      <c r="B2663" t="s">
        <v>55</v>
      </c>
      <c r="C2663" t="s">
        <v>10622</v>
      </c>
      <c r="D2663">
        <v>0</v>
      </c>
      <c r="E2663" t="s">
        <v>10293</v>
      </c>
      <c r="F2663">
        <v>0</v>
      </c>
      <c r="G2663">
        <v>0.34000000357627869</v>
      </c>
      <c r="H2663">
        <v>0</v>
      </c>
      <c r="I2663">
        <v>0</v>
      </c>
      <c r="J2663" t="s">
        <v>10623</v>
      </c>
      <c r="K2663">
        <v>1691</v>
      </c>
      <c r="L2663">
        <v>1691</v>
      </c>
      <c r="M2663">
        <v>0</v>
      </c>
      <c r="N2663">
        <v>0</v>
      </c>
      <c r="O2663">
        <v>0</v>
      </c>
      <c r="P2663">
        <v>0</v>
      </c>
      <c r="Q2663">
        <v>0</v>
      </c>
      <c r="R2663">
        <v>0</v>
      </c>
      <c r="S2663">
        <v>0</v>
      </c>
      <c r="T2663">
        <v>0</v>
      </c>
      <c r="U2663">
        <v>0</v>
      </c>
      <c r="V2663">
        <v>0</v>
      </c>
      <c r="W2663">
        <v>0</v>
      </c>
      <c r="X2663">
        <v>0</v>
      </c>
      <c r="Y2663">
        <v>0</v>
      </c>
      <c r="AG2663" t="str">
        <f>HYPERLINK("https://finance.naver.com/item/fchart.naver?code=377460", "위니아에이드 차트보기")</f>
        <v>위니아에이드 차트보기</v>
      </c>
    </row>
    <row r="2664" spans="1:33" x14ac:dyDescent="0.3">
      <c r="A2664" t="s">
        <v>10624</v>
      </c>
      <c r="B2664" t="s">
        <v>55</v>
      </c>
      <c r="C2664" t="s">
        <v>10625</v>
      </c>
      <c r="D2664">
        <v>84692.9</v>
      </c>
      <c r="E2664" t="s">
        <v>10626</v>
      </c>
      <c r="F2664">
        <v>8.68</v>
      </c>
      <c r="G2664">
        <v>2.380000114440918</v>
      </c>
      <c r="H2664">
        <v>1206</v>
      </c>
      <c r="I2664">
        <v>0</v>
      </c>
      <c r="J2664" t="s">
        <v>10627</v>
      </c>
      <c r="K2664">
        <v>21000</v>
      </c>
      <c r="L2664">
        <v>10470</v>
      </c>
      <c r="M2664">
        <v>-50.14</v>
      </c>
      <c r="N2664">
        <v>-0.95</v>
      </c>
      <c r="O2664">
        <v>-14.03</v>
      </c>
      <c r="P2664">
        <v>-5.7</v>
      </c>
      <c r="Q2664">
        <v>-37.19</v>
      </c>
      <c r="R2664">
        <v>0</v>
      </c>
      <c r="S2664">
        <v>0</v>
      </c>
      <c r="T2664">
        <v>3.05</v>
      </c>
      <c r="U2664">
        <v>2.2400000000000002</v>
      </c>
      <c r="V2664">
        <v>8.11</v>
      </c>
      <c r="W2664">
        <v>5.34</v>
      </c>
      <c r="X2664">
        <v>0</v>
      </c>
      <c r="Y2664">
        <v>0</v>
      </c>
      <c r="Z2664">
        <v>0.31</v>
      </c>
      <c r="AA2664">
        <v>6.26</v>
      </c>
      <c r="AB2664">
        <v>0.7</v>
      </c>
      <c r="AC2664">
        <v>6.96</v>
      </c>
      <c r="AG2664" t="str">
        <f>HYPERLINK("https://finance.naver.com/item/fchart.naver?code=088340", "유라클 차트보기")</f>
        <v>유라클 차트보기</v>
      </c>
    </row>
    <row r="2665" spans="1:33" x14ac:dyDescent="0.3">
      <c r="A2665" t="s">
        <v>10628</v>
      </c>
      <c r="B2665" t="s">
        <v>55</v>
      </c>
      <c r="C2665" t="s">
        <v>10629</v>
      </c>
      <c r="D2665">
        <v>29432.71</v>
      </c>
      <c r="E2665" t="s">
        <v>10630</v>
      </c>
      <c r="F2665">
        <v>0</v>
      </c>
      <c r="G2665">
        <v>0</v>
      </c>
      <c r="H2665">
        <v>0</v>
      </c>
      <c r="I2665">
        <v>0</v>
      </c>
      <c r="J2665" t="s">
        <v>10631</v>
      </c>
      <c r="K2665">
        <v>2475</v>
      </c>
      <c r="L2665">
        <v>2050</v>
      </c>
      <c r="M2665">
        <v>-17.170000000000002</v>
      </c>
      <c r="N2665">
        <v>0.24</v>
      </c>
      <c r="O2665">
        <v>-13.87</v>
      </c>
      <c r="P2665">
        <v>0</v>
      </c>
      <c r="Q2665">
        <v>0</v>
      </c>
      <c r="R2665">
        <v>0</v>
      </c>
      <c r="S2665">
        <v>0</v>
      </c>
      <c r="T2665">
        <v>0.4</v>
      </c>
      <c r="U2665">
        <v>3.21</v>
      </c>
      <c r="V2665">
        <v>0</v>
      </c>
      <c r="W2665">
        <v>0</v>
      </c>
      <c r="X2665">
        <v>0</v>
      </c>
      <c r="Y2665">
        <v>0</v>
      </c>
      <c r="Z2665">
        <v>0.6</v>
      </c>
      <c r="AA2665">
        <v>4.32</v>
      </c>
      <c r="AG2665" t="str">
        <f>HYPERLINK("https://finance.naver.com/item/fchart.naver?code=446150", "유안타제12호스팩 차트보기")</f>
        <v>유안타제12호스팩 차트보기</v>
      </c>
    </row>
    <row r="2666" spans="1:33" x14ac:dyDescent="0.3">
      <c r="A2666" t="s">
        <v>10632</v>
      </c>
      <c r="B2666" t="s">
        <v>55</v>
      </c>
      <c r="C2666" t="s">
        <v>10633</v>
      </c>
      <c r="D2666">
        <v>301793.90000000002</v>
      </c>
      <c r="E2666" t="s">
        <v>10634</v>
      </c>
      <c r="F2666">
        <v>0</v>
      </c>
      <c r="G2666">
        <v>9.9799995422363281</v>
      </c>
      <c r="H2666">
        <v>0</v>
      </c>
      <c r="I2666">
        <v>0</v>
      </c>
      <c r="J2666" t="s">
        <v>10635</v>
      </c>
      <c r="K2666">
        <v>34450</v>
      </c>
      <c r="L2666">
        <v>24650</v>
      </c>
      <c r="M2666">
        <v>-28.45</v>
      </c>
      <c r="N2666">
        <v>14.12</v>
      </c>
      <c r="O2666">
        <v>27.53</v>
      </c>
      <c r="P2666">
        <v>-11.04</v>
      </c>
      <c r="Q2666">
        <v>-12.47</v>
      </c>
      <c r="R2666">
        <v>-34.69</v>
      </c>
      <c r="S2666">
        <v>0</v>
      </c>
      <c r="T2666">
        <v>4.88</v>
      </c>
      <c r="U2666">
        <v>4.78</v>
      </c>
      <c r="V2666">
        <v>3.94</v>
      </c>
      <c r="W2666">
        <v>6.45</v>
      </c>
      <c r="X2666">
        <v>3.1</v>
      </c>
      <c r="Y2666">
        <v>0</v>
      </c>
      <c r="Z2666">
        <v>2.89</v>
      </c>
      <c r="AA2666">
        <v>5.76</v>
      </c>
      <c r="AB2666">
        <v>2.8</v>
      </c>
      <c r="AC2666">
        <v>1.93</v>
      </c>
      <c r="AD2666">
        <v>11.19</v>
      </c>
      <c r="AG2666" t="str">
        <f>HYPERLINK("https://finance.naver.com/item/fchart.naver?code=462350", "이노스페이스 차트보기")</f>
        <v>이노스페이스 차트보기</v>
      </c>
    </row>
    <row r="2667" spans="1:33" x14ac:dyDescent="0.3">
      <c r="A2667" t="s">
        <v>10636</v>
      </c>
      <c r="B2667" t="s">
        <v>55</v>
      </c>
      <c r="C2667" t="s">
        <v>10637</v>
      </c>
      <c r="D2667">
        <v>0</v>
      </c>
      <c r="E2667" t="s">
        <v>10293</v>
      </c>
      <c r="F2667">
        <v>0</v>
      </c>
      <c r="G2667">
        <v>2.6400001049041748</v>
      </c>
      <c r="H2667">
        <v>0</v>
      </c>
      <c r="I2667">
        <v>0</v>
      </c>
      <c r="J2667" t="s">
        <v>10638</v>
      </c>
      <c r="K2667">
        <v>6650</v>
      </c>
      <c r="L2667">
        <v>7090</v>
      </c>
      <c r="M2667">
        <v>6.62</v>
      </c>
      <c r="N2667">
        <v>0</v>
      </c>
      <c r="O2667">
        <v>10.44</v>
      </c>
      <c r="P2667">
        <v>2.85</v>
      </c>
      <c r="Q2667">
        <v>-9.39</v>
      </c>
      <c r="R2667">
        <v>-2.2999999999999998</v>
      </c>
      <c r="S2667">
        <v>7.82</v>
      </c>
      <c r="T2667">
        <v>0</v>
      </c>
      <c r="U2667">
        <v>1.84</v>
      </c>
      <c r="V2667">
        <v>4.29</v>
      </c>
      <c r="W2667">
        <v>1.76</v>
      </c>
      <c r="X2667">
        <v>2.89</v>
      </c>
      <c r="Y2667">
        <v>4.33</v>
      </c>
      <c r="AA2667">
        <v>5.67</v>
      </c>
      <c r="AB2667">
        <v>0.66</v>
      </c>
      <c r="AC2667">
        <v>5.34</v>
      </c>
      <c r="AD2667">
        <v>0.8</v>
      </c>
      <c r="AE2667">
        <v>1.81</v>
      </c>
      <c r="AG2667" t="str">
        <f>HYPERLINK("https://finance.naver.com/item/fchart.naver?code=164060", "이루다 차트보기")</f>
        <v>이루다 차트보기</v>
      </c>
    </row>
    <row r="2668" spans="1:33" x14ac:dyDescent="0.3">
      <c r="A2668" t="s">
        <v>10639</v>
      </c>
      <c r="B2668" t="s">
        <v>55</v>
      </c>
      <c r="C2668" t="s">
        <v>10640</v>
      </c>
      <c r="D2668">
        <v>6420.1</v>
      </c>
      <c r="E2668" t="s">
        <v>10641</v>
      </c>
      <c r="F2668">
        <v>0</v>
      </c>
      <c r="G2668">
        <v>0</v>
      </c>
      <c r="H2668">
        <v>0</v>
      </c>
      <c r="I2668">
        <v>0</v>
      </c>
      <c r="J2668" t="s">
        <v>10642</v>
      </c>
      <c r="K2668">
        <v>2030</v>
      </c>
      <c r="L2668">
        <v>2010</v>
      </c>
      <c r="M2668">
        <v>-0.99</v>
      </c>
      <c r="N2668">
        <v>0</v>
      </c>
      <c r="O2668">
        <v>-0.74</v>
      </c>
      <c r="P2668">
        <v>-0.49</v>
      </c>
      <c r="Q2668">
        <v>-1.21</v>
      </c>
      <c r="R2668">
        <v>1.97</v>
      </c>
      <c r="S2668">
        <v>0</v>
      </c>
      <c r="T2668">
        <v>0.39</v>
      </c>
      <c r="U2668">
        <v>0.22</v>
      </c>
      <c r="V2668">
        <v>0.3</v>
      </c>
      <c r="W2668">
        <v>0.48</v>
      </c>
      <c r="X2668">
        <v>0.43</v>
      </c>
      <c r="Y2668">
        <v>0</v>
      </c>
      <c r="Z2668">
        <v>0</v>
      </c>
      <c r="AA2668">
        <v>3.36</v>
      </c>
      <c r="AB2668">
        <v>1.63</v>
      </c>
      <c r="AC2668">
        <v>2.52</v>
      </c>
      <c r="AD2668">
        <v>4.58</v>
      </c>
      <c r="AG2668" t="str">
        <f>HYPERLINK("https://finance.naver.com/item/fchart.naver?code=478110", "이베스트스팩6호 차트보기")</f>
        <v>이베스트스팩6호 차트보기</v>
      </c>
    </row>
    <row r="2669" spans="1:33" x14ac:dyDescent="0.3">
      <c r="A2669" t="s">
        <v>10643</v>
      </c>
      <c r="B2669" t="s">
        <v>55</v>
      </c>
      <c r="C2669" t="s">
        <v>10644</v>
      </c>
      <c r="D2669">
        <v>1554708.33</v>
      </c>
      <c r="E2669" t="s">
        <v>10645</v>
      </c>
      <c r="F2669">
        <v>0</v>
      </c>
      <c r="G2669">
        <v>3.8299999237060551</v>
      </c>
      <c r="H2669">
        <v>0</v>
      </c>
      <c r="I2669">
        <v>0</v>
      </c>
      <c r="J2669" t="s">
        <v>10646</v>
      </c>
      <c r="K2669">
        <v>17200</v>
      </c>
      <c r="L2669">
        <v>16480</v>
      </c>
      <c r="M2669">
        <v>-4.1900000000000004</v>
      </c>
      <c r="N2669">
        <v>-3.34</v>
      </c>
      <c r="O2669">
        <v>0.16</v>
      </c>
      <c r="P2669">
        <v>-50.72</v>
      </c>
      <c r="Q2669">
        <v>122.09</v>
      </c>
      <c r="R2669">
        <v>0</v>
      </c>
      <c r="S2669">
        <v>0</v>
      </c>
      <c r="T2669">
        <v>5.83</v>
      </c>
      <c r="U2669">
        <v>6.96</v>
      </c>
      <c r="V2669">
        <v>7.43</v>
      </c>
      <c r="W2669">
        <v>14.4</v>
      </c>
      <c r="X2669">
        <v>0</v>
      </c>
      <c r="Y2669">
        <v>0</v>
      </c>
      <c r="Z2669">
        <v>0.56999999999999995</v>
      </c>
      <c r="AA2669">
        <v>0.02</v>
      </c>
      <c r="AB2669">
        <v>6.83</v>
      </c>
      <c r="AC2669">
        <v>8.48</v>
      </c>
      <c r="AG2669" t="str">
        <f>HYPERLINK("https://finance.naver.com/item/fchart.naver?code=456070", "이엔셀 차트보기")</f>
        <v>이엔셀 차트보기</v>
      </c>
    </row>
    <row r="2670" spans="1:33" x14ac:dyDescent="0.3">
      <c r="A2670" t="s">
        <v>10647</v>
      </c>
      <c r="B2670" t="s">
        <v>55</v>
      </c>
      <c r="C2670" t="s">
        <v>10648</v>
      </c>
      <c r="D2670">
        <v>0</v>
      </c>
      <c r="E2670" t="s">
        <v>10293</v>
      </c>
      <c r="F2670">
        <v>0</v>
      </c>
      <c r="G2670">
        <v>1.9600000381469731</v>
      </c>
      <c r="H2670">
        <v>0</v>
      </c>
      <c r="I2670">
        <v>0</v>
      </c>
      <c r="J2670" t="s">
        <v>10649</v>
      </c>
      <c r="K2670">
        <v>3100</v>
      </c>
      <c r="L2670">
        <v>3100</v>
      </c>
      <c r="M2670">
        <v>0</v>
      </c>
      <c r="N2670">
        <v>0</v>
      </c>
      <c r="O2670">
        <v>0</v>
      </c>
      <c r="P2670">
        <v>0</v>
      </c>
      <c r="Q2670">
        <v>0</v>
      </c>
      <c r="R2670">
        <v>0</v>
      </c>
      <c r="S2670">
        <v>0</v>
      </c>
      <c r="T2670">
        <v>0</v>
      </c>
      <c r="U2670">
        <v>0</v>
      </c>
      <c r="V2670">
        <v>0</v>
      </c>
      <c r="W2670">
        <v>0</v>
      </c>
      <c r="X2670">
        <v>0</v>
      </c>
      <c r="Y2670">
        <v>0</v>
      </c>
      <c r="AG2670" t="str">
        <f>HYPERLINK("https://finance.naver.com/item/fchart.naver?code=160600", "이큐셀 차트보기")</f>
        <v>이큐셀 차트보기</v>
      </c>
    </row>
    <row r="2671" spans="1:33" x14ac:dyDescent="0.3">
      <c r="A2671" t="s">
        <v>10650</v>
      </c>
      <c r="B2671" t="s">
        <v>55</v>
      </c>
      <c r="C2671" t="s">
        <v>10651</v>
      </c>
      <c r="D2671">
        <v>0</v>
      </c>
      <c r="E2671" t="s">
        <v>10293</v>
      </c>
      <c r="F2671">
        <v>0</v>
      </c>
      <c r="G2671">
        <v>2.630000114440918</v>
      </c>
      <c r="H2671">
        <v>0</v>
      </c>
      <c r="I2671">
        <v>0</v>
      </c>
      <c r="J2671" t="s">
        <v>10652</v>
      </c>
      <c r="K2671">
        <v>271</v>
      </c>
      <c r="L2671">
        <v>271</v>
      </c>
      <c r="M2671">
        <v>0</v>
      </c>
      <c r="N2671">
        <v>0</v>
      </c>
      <c r="O2671">
        <v>0</v>
      </c>
      <c r="P2671">
        <v>0</v>
      </c>
      <c r="Q2671">
        <v>0</v>
      </c>
      <c r="R2671">
        <v>0</v>
      </c>
      <c r="S2671">
        <v>0</v>
      </c>
      <c r="T2671">
        <v>0</v>
      </c>
      <c r="U2671">
        <v>0</v>
      </c>
      <c r="V2671">
        <v>0</v>
      </c>
      <c r="W2671">
        <v>0</v>
      </c>
      <c r="X2671">
        <v>0</v>
      </c>
      <c r="Y2671">
        <v>0</v>
      </c>
      <c r="AG2671" t="str">
        <f>HYPERLINK("https://finance.naver.com/item/fchart.naver?code=096040", "이트론 차트보기")</f>
        <v>이트론 차트보기</v>
      </c>
    </row>
    <row r="2672" spans="1:33" x14ac:dyDescent="0.3">
      <c r="A2672" t="s">
        <v>10653</v>
      </c>
      <c r="B2672" t="s">
        <v>55</v>
      </c>
      <c r="C2672" t="s">
        <v>10654</v>
      </c>
      <c r="D2672">
        <v>0</v>
      </c>
      <c r="E2672" t="s">
        <v>10293</v>
      </c>
      <c r="F2672">
        <v>0</v>
      </c>
      <c r="G2672">
        <v>0.81999999284744263</v>
      </c>
      <c r="H2672">
        <v>0</v>
      </c>
      <c r="I2672">
        <v>0</v>
      </c>
      <c r="J2672" t="s">
        <v>10655</v>
      </c>
      <c r="K2672">
        <v>899</v>
      </c>
      <c r="L2672">
        <v>899</v>
      </c>
      <c r="M2672">
        <v>0</v>
      </c>
      <c r="N2672">
        <v>0</v>
      </c>
      <c r="O2672">
        <v>0</v>
      </c>
      <c r="P2672">
        <v>0</v>
      </c>
      <c r="Q2672">
        <v>0</v>
      </c>
      <c r="R2672">
        <v>0</v>
      </c>
      <c r="S2672">
        <v>0</v>
      </c>
      <c r="T2672">
        <v>0</v>
      </c>
      <c r="U2672">
        <v>0</v>
      </c>
      <c r="V2672">
        <v>0</v>
      </c>
      <c r="W2672">
        <v>0</v>
      </c>
      <c r="X2672">
        <v>0</v>
      </c>
      <c r="Y2672">
        <v>0</v>
      </c>
      <c r="AG2672" t="str">
        <f>HYPERLINK("https://finance.naver.com/item/fchart.naver?code=024810", "이화전기 차트보기")</f>
        <v>이화전기 차트보기</v>
      </c>
    </row>
    <row r="2673" spans="1:33" x14ac:dyDescent="0.3">
      <c r="A2673" t="s">
        <v>10656</v>
      </c>
      <c r="B2673" t="s">
        <v>55</v>
      </c>
      <c r="C2673" t="s">
        <v>10657</v>
      </c>
      <c r="D2673">
        <v>0</v>
      </c>
      <c r="E2673" t="s">
        <v>10293</v>
      </c>
      <c r="F2673">
        <v>22.57</v>
      </c>
      <c r="G2673">
        <v>1.6599999666213989</v>
      </c>
      <c r="H2673">
        <v>1103</v>
      </c>
      <c r="I2673">
        <v>2.410000085830688</v>
      </c>
      <c r="J2673" t="s">
        <v>10658</v>
      </c>
      <c r="K2673">
        <v>24900</v>
      </c>
      <c r="L2673">
        <v>24900</v>
      </c>
      <c r="M2673">
        <v>0</v>
      </c>
      <c r="N2673">
        <v>0</v>
      </c>
      <c r="O2673">
        <v>0</v>
      </c>
      <c r="P2673">
        <v>0</v>
      </c>
      <c r="Q2673">
        <v>0</v>
      </c>
      <c r="R2673">
        <v>0</v>
      </c>
      <c r="S2673">
        <v>0</v>
      </c>
      <c r="T2673">
        <v>0</v>
      </c>
      <c r="U2673">
        <v>0</v>
      </c>
      <c r="V2673">
        <v>0</v>
      </c>
      <c r="W2673">
        <v>0</v>
      </c>
      <c r="X2673">
        <v>0</v>
      </c>
      <c r="Y2673">
        <v>0</v>
      </c>
      <c r="AG2673" t="str">
        <f>HYPERLINK("https://finance.naver.com/item/fchart.naver?code=119610", "인터로조 차트보기")</f>
        <v>인터로조 차트보기</v>
      </c>
    </row>
    <row r="2674" spans="1:33" x14ac:dyDescent="0.3">
      <c r="A2674" t="s">
        <v>10659</v>
      </c>
      <c r="B2674" t="s">
        <v>55</v>
      </c>
      <c r="C2674" t="s">
        <v>10660</v>
      </c>
      <c r="D2674">
        <v>0</v>
      </c>
      <c r="E2674" t="s">
        <v>10293</v>
      </c>
      <c r="F2674">
        <v>0</v>
      </c>
      <c r="G2674">
        <v>29.54999923706055</v>
      </c>
      <c r="H2674">
        <v>0</v>
      </c>
      <c r="I2674">
        <v>0</v>
      </c>
      <c r="J2674" t="s">
        <v>10661</v>
      </c>
      <c r="K2674">
        <v>5850</v>
      </c>
      <c r="L2674">
        <v>5850</v>
      </c>
      <c r="M2674">
        <v>0</v>
      </c>
      <c r="N2674">
        <v>0</v>
      </c>
      <c r="O2674">
        <v>0</v>
      </c>
      <c r="P2674">
        <v>0</v>
      </c>
      <c r="Q2674">
        <v>0</v>
      </c>
      <c r="R2674">
        <v>0</v>
      </c>
      <c r="S2674">
        <v>0</v>
      </c>
      <c r="T2674">
        <v>0</v>
      </c>
      <c r="U2674">
        <v>0</v>
      </c>
      <c r="V2674">
        <v>0</v>
      </c>
      <c r="W2674">
        <v>0</v>
      </c>
      <c r="X2674">
        <v>0</v>
      </c>
      <c r="Y2674">
        <v>0</v>
      </c>
      <c r="AG2674" t="str">
        <f>HYPERLINK("https://finance.naver.com/item/fchart.naver?code=150840", "인트로메딕 차트보기")</f>
        <v>인트로메딕 차트보기</v>
      </c>
    </row>
    <row r="2675" spans="1:33" x14ac:dyDescent="0.3">
      <c r="A2675" t="s">
        <v>10662</v>
      </c>
      <c r="B2675" t="s">
        <v>55</v>
      </c>
      <c r="C2675" t="s">
        <v>10663</v>
      </c>
      <c r="D2675">
        <v>0</v>
      </c>
      <c r="E2675" t="s">
        <v>10293</v>
      </c>
      <c r="F2675">
        <v>0</v>
      </c>
      <c r="G2675">
        <v>9.0299997329711914</v>
      </c>
      <c r="H2675">
        <v>0</v>
      </c>
      <c r="I2675">
        <v>0</v>
      </c>
      <c r="J2675" t="s">
        <v>10664</v>
      </c>
      <c r="K2675">
        <v>8650</v>
      </c>
      <c r="L2675">
        <v>8650</v>
      </c>
      <c r="M2675">
        <v>0</v>
      </c>
      <c r="N2675">
        <v>0</v>
      </c>
      <c r="O2675">
        <v>0</v>
      </c>
      <c r="P2675">
        <v>0</v>
      </c>
      <c r="Q2675">
        <v>0</v>
      </c>
      <c r="R2675">
        <v>0</v>
      </c>
      <c r="S2675">
        <v>0</v>
      </c>
      <c r="T2675">
        <v>0</v>
      </c>
      <c r="U2675">
        <v>0</v>
      </c>
      <c r="V2675">
        <v>0</v>
      </c>
      <c r="W2675">
        <v>0</v>
      </c>
      <c r="X2675">
        <v>0</v>
      </c>
      <c r="Y2675">
        <v>0</v>
      </c>
      <c r="AG2675" t="str">
        <f>HYPERLINK("https://finance.naver.com/item/fchart.naver?code=178780", "일월지엠엘 차트보기")</f>
        <v>일월지엠엘 차트보기</v>
      </c>
    </row>
    <row r="2676" spans="1:33" x14ac:dyDescent="0.3">
      <c r="A2676" t="s">
        <v>10665</v>
      </c>
      <c r="B2676" t="s">
        <v>55</v>
      </c>
      <c r="C2676" t="s">
        <v>10666</v>
      </c>
      <c r="D2676">
        <v>0</v>
      </c>
      <c r="E2676" t="s">
        <v>10293</v>
      </c>
      <c r="F2676">
        <v>0</v>
      </c>
      <c r="G2676">
        <v>0.17000000178813929</v>
      </c>
      <c r="H2676">
        <v>0</v>
      </c>
      <c r="I2676">
        <v>0</v>
      </c>
      <c r="J2676" t="s">
        <v>10667</v>
      </c>
      <c r="K2676">
        <v>2650</v>
      </c>
      <c r="L2676">
        <v>2650</v>
      </c>
      <c r="M2676">
        <v>0</v>
      </c>
      <c r="N2676">
        <v>0</v>
      </c>
      <c r="O2676">
        <v>0</v>
      </c>
      <c r="P2676">
        <v>0</v>
      </c>
      <c r="Q2676">
        <v>0</v>
      </c>
      <c r="R2676">
        <v>0</v>
      </c>
      <c r="S2676">
        <v>0</v>
      </c>
      <c r="T2676">
        <v>0</v>
      </c>
      <c r="U2676">
        <v>0</v>
      </c>
      <c r="V2676">
        <v>0</v>
      </c>
      <c r="W2676">
        <v>0</v>
      </c>
      <c r="X2676">
        <v>0</v>
      </c>
      <c r="Y2676">
        <v>0</v>
      </c>
      <c r="AG2676" t="str">
        <f>HYPERLINK("https://finance.naver.com/item/fchart.naver?code=174880", "장원테크 차트보기")</f>
        <v>장원테크 차트보기</v>
      </c>
    </row>
    <row r="2677" spans="1:33" x14ac:dyDescent="0.3">
      <c r="A2677" t="s">
        <v>10668</v>
      </c>
      <c r="B2677" t="s">
        <v>55</v>
      </c>
      <c r="C2677" t="s">
        <v>10669</v>
      </c>
      <c r="D2677">
        <v>0</v>
      </c>
      <c r="E2677" t="s">
        <v>10293</v>
      </c>
      <c r="F2677">
        <v>0</v>
      </c>
      <c r="G2677">
        <v>0.37999999523162842</v>
      </c>
      <c r="H2677">
        <v>0</v>
      </c>
      <c r="I2677">
        <v>0</v>
      </c>
      <c r="J2677" t="s">
        <v>10670</v>
      </c>
      <c r="K2677">
        <v>389</v>
      </c>
      <c r="L2677">
        <v>389</v>
      </c>
      <c r="M2677">
        <v>0</v>
      </c>
      <c r="N2677">
        <v>0</v>
      </c>
      <c r="O2677">
        <v>0</v>
      </c>
      <c r="P2677">
        <v>0</v>
      </c>
      <c r="Q2677">
        <v>0</v>
      </c>
      <c r="R2677">
        <v>0</v>
      </c>
      <c r="S2677">
        <v>0</v>
      </c>
      <c r="T2677">
        <v>0</v>
      </c>
      <c r="U2677">
        <v>0</v>
      </c>
      <c r="V2677">
        <v>0</v>
      </c>
      <c r="W2677">
        <v>0</v>
      </c>
      <c r="X2677">
        <v>0</v>
      </c>
      <c r="Y2677">
        <v>0</v>
      </c>
      <c r="AG2677" t="str">
        <f>HYPERLINK("https://finance.naver.com/item/fchart.naver?code=072520", "제넨바이오 차트보기")</f>
        <v>제넨바이오 차트보기</v>
      </c>
    </row>
    <row r="2678" spans="1:33" x14ac:dyDescent="0.3">
      <c r="A2678" t="s">
        <v>10671</v>
      </c>
      <c r="B2678" t="s">
        <v>55</v>
      </c>
      <c r="C2678" t="s">
        <v>10672</v>
      </c>
      <c r="D2678">
        <v>218877.86</v>
      </c>
      <c r="E2678" t="s">
        <v>10673</v>
      </c>
      <c r="F2678">
        <v>25.51</v>
      </c>
      <c r="G2678">
        <v>4.0500001907348633</v>
      </c>
      <c r="H2678">
        <v>990</v>
      </c>
      <c r="I2678">
        <v>0</v>
      </c>
      <c r="J2678" t="s">
        <v>10674</v>
      </c>
      <c r="K2678">
        <v>46000</v>
      </c>
      <c r="L2678">
        <v>25250</v>
      </c>
      <c r="M2678">
        <v>-45.11</v>
      </c>
      <c r="N2678">
        <v>-9.01</v>
      </c>
      <c r="O2678">
        <v>-33.25</v>
      </c>
      <c r="P2678">
        <v>0</v>
      </c>
      <c r="Q2678">
        <v>0</v>
      </c>
      <c r="R2678">
        <v>0</v>
      </c>
      <c r="S2678">
        <v>0</v>
      </c>
      <c r="T2678">
        <v>3.75</v>
      </c>
      <c r="U2678">
        <v>3.93</v>
      </c>
      <c r="W2678">
        <v>0</v>
      </c>
      <c r="X2678">
        <v>0</v>
      </c>
      <c r="Y2678">
        <v>0</v>
      </c>
      <c r="Z2678">
        <v>2.4</v>
      </c>
      <c r="AA2678">
        <v>8.4600000000000009</v>
      </c>
      <c r="AG2678" t="str">
        <f>HYPERLINK("https://finance.naver.com/item/fchart.naver?code=381620", "제닉스 차트보기")</f>
        <v>제닉스 차트보기</v>
      </c>
    </row>
    <row r="2679" spans="1:33" x14ac:dyDescent="0.3">
      <c r="A2679" t="s">
        <v>10675</v>
      </c>
      <c r="B2679" t="s">
        <v>55</v>
      </c>
      <c r="C2679" t="s">
        <v>10676</v>
      </c>
      <c r="D2679">
        <v>5323.5</v>
      </c>
      <c r="E2679" t="s">
        <v>10677</v>
      </c>
      <c r="F2679">
        <v>39.33</v>
      </c>
      <c r="G2679">
        <v>10.22000026702881</v>
      </c>
      <c r="H2679">
        <v>328</v>
      </c>
      <c r="I2679">
        <v>0</v>
      </c>
      <c r="J2679" t="s">
        <v>10678</v>
      </c>
      <c r="K2679">
        <v>11100</v>
      </c>
      <c r="L2679">
        <v>12900</v>
      </c>
      <c r="M2679">
        <v>16.22</v>
      </c>
      <c r="N2679">
        <v>0</v>
      </c>
      <c r="O2679">
        <v>0.31</v>
      </c>
      <c r="P2679">
        <v>0.16</v>
      </c>
      <c r="Q2679">
        <v>-0.46</v>
      </c>
      <c r="R2679">
        <v>0.23</v>
      </c>
      <c r="S2679">
        <v>11.43</v>
      </c>
      <c r="T2679">
        <v>0</v>
      </c>
      <c r="U2679">
        <v>0.08</v>
      </c>
      <c r="V2679">
        <v>0.26</v>
      </c>
      <c r="W2679">
        <v>0.49</v>
      </c>
      <c r="X2679">
        <v>0.18</v>
      </c>
      <c r="Y2679">
        <v>4.51</v>
      </c>
      <c r="AA2679">
        <v>3.88</v>
      </c>
      <c r="AB2679">
        <v>0.62</v>
      </c>
      <c r="AC2679">
        <v>0.94</v>
      </c>
      <c r="AD2679">
        <v>1.28</v>
      </c>
      <c r="AE2679">
        <v>2.5299999999999998</v>
      </c>
      <c r="AG2679" t="str">
        <f>HYPERLINK("https://finance.naver.com/item/fchart.naver?code=287410", "제이시스메디칼 차트보기")</f>
        <v>제이시스메디칼 차트보기</v>
      </c>
    </row>
    <row r="2680" spans="1:33" x14ac:dyDescent="0.3">
      <c r="A2680" t="s">
        <v>10679</v>
      </c>
      <c r="B2680" t="s">
        <v>55</v>
      </c>
      <c r="C2680" t="s">
        <v>10680</v>
      </c>
      <c r="D2680">
        <v>0</v>
      </c>
      <c r="E2680" t="s">
        <v>10293</v>
      </c>
      <c r="F2680">
        <v>0</v>
      </c>
      <c r="G2680">
        <v>1.809999942779541</v>
      </c>
      <c r="H2680">
        <v>0</v>
      </c>
      <c r="I2680">
        <v>0</v>
      </c>
      <c r="J2680" t="s">
        <v>10681</v>
      </c>
      <c r="K2680">
        <v>2080</v>
      </c>
      <c r="L2680">
        <v>2080</v>
      </c>
      <c r="M2680">
        <v>0</v>
      </c>
      <c r="N2680">
        <v>0</v>
      </c>
      <c r="O2680">
        <v>0</v>
      </c>
      <c r="P2680">
        <v>0</v>
      </c>
      <c r="Q2680">
        <v>0</v>
      </c>
      <c r="R2680">
        <v>0</v>
      </c>
      <c r="S2680">
        <v>0</v>
      </c>
      <c r="T2680">
        <v>0</v>
      </c>
      <c r="U2680">
        <v>0</v>
      </c>
      <c r="V2680">
        <v>0</v>
      </c>
      <c r="W2680">
        <v>0</v>
      </c>
      <c r="X2680">
        <v>0</v>
      </c>
      <c r="Y2680">
        <v>0</v>
      </c>
      <c r="AG2680" t="str">
        <f>HYPERLINK("https://finance.naver.com/item/fchart.naver?code=052670", "제일바이오 차트보기")</f>
        <v>제일바이오 차트보기</v>
      </c>
    </row>
    <row r="2681" spans="1:33" x14ac:dyDescent="0.3">
      <c r="A2681" t="s">
        <v>10682</v>
      </c>
      <c r="B2681" t="s">
        <v>55</v>
      </c>
      <c r="C2681" t="s">
        <v>10683</v>
      </c>
      <c r="D2681">
        <v>0</v>
      </c>
      <c r="E2681" t="s">
        <v>10293</v>
      </c>
      <c r="F2681">
        <v>0</v>
      </c>
      <c r="G2681">
        <v>1.220000028610229</v>
      </c>
      <c r="H2681">
        <v>0</v>
      </c>
      <c r="I2681">
        <v>0</v>
      </c>
      <c r="J2681" t="s">
        <v>10684</v>
      </c>
      <c r="K2681">
        <v>732</v>
      </c>
      <c r="L2681">
        <v>732</v>
      </c>
      <c r="M2681">
        <v>0</v>
      </c>
      <c r="N2681">
        <v>0</v>
      </c>
      <c r="O2681">
        <v>0</v>
      </c>
      <c r="P2681">
        <v>0</v>
      </c>
      <c r="Q2681">
        <v>0</v>
      </c>
      <c r="R2681">
        <v>0</v>
      </c>
      <c r="S2681">
        <v>0</v>
      </c>
      <c r="T2681">
        <v>0</v>
      </c>
      <c r="U2681">
        <v>0</v>
      </c>
      <c r="V2681">
        <v>0</v>
      </c>
      <c r="W2681">
        <v>0</v>
      </c>
      <c r="X2681">
        <v>0</v>
      </c>
      <c r="Y2681">
        <v>0</v>
      </c>
      <c r="AG2681" t="str">
        <f>HYPERLINK("https://finance.naver.com/item/fchart.naver?code=044060", "조광ILI 차트보기")</f>
        <v>조광ILI 차트보기</v>
      </c>
    </row>
    <row r="2682" spans="1:33" x14ac:dyDescent="0.3">
      <c r="A2682" t="s">
        <v>10685</v>
      </c>
      <c r="B2682" t="s">
        <v>55</v>
      </c>
      <c r="C2682" t="s">
        <v>10686</v>
      </c>
      <c r="D2682">
        <v>332397.86</v>
      </c>
      <c r="E2682" t="s">
        <v>10687</v>
      </c>
      <c r="F2682">
        <v>19.899999999999999</v>
      </c>
      <c r="G2682">
        <v>0.99000000953674316</v>
      </c>
      <c r="H2682">
        <v>29</v>
      </c>
      <c r="I2682">
        <v>0</v>
      </c>
      <c r="J2682" t="s">
        <v>10688</v>
      </c>
      <c r="K2682">
        <v>2110</v>
      </c>
      <c r="L2682">
        <v>577</v>
      </c>
      <c r="M2682">
        <v>-72.650000000000006</v>
      </c>
      <c r="N2682">
        <v>-9.6999999999999993</v>
      </c>
      <c r="O2682">
        <v>-1.07</v>
      </c>
      <c r="P2682">
        <v>-12.45</v>
      </c>
      <c r="Q2682">
        <v>-45.59</v>
      </c>
      <c r="R2682">
        <v>-35.020000000000003</v>
      </c>
      <c r="S2682">
        <v>0</v>
      </c>
      <c r="T2682">
        <v>2.37</v>
      </c>
      <c r="U2682">
        <v>2.6</v>
      </c>
      <c r="V2682">
        <v>2.93</v>
      </c>
      <c r="W2682">
        <v>3.85</v>
      </c>
      <c r="X2682">
        <v>7.98</v>
      </c>
      <c r="Y2682">
        <v>0</v>
      </c>
      <c r="Z2682">
        <v>4.09</v>
      </c>
      <c r="AA2682">
        <v>0.41</v>
      </c>
      <c r="AB2682">
        <v>4.25</v>
      </c>
      <c r="AC2682">
        <v>11.84</v>
      </c>
      <c r="AD2682">
        <v>4.3899999999999997</v>
      </c>
      <c r="AG2682" t="str">
        <f>HYPERLINK("https://finance.naver.com/item/fchart.naver?code=033340", "좋은사람들 차트보기")</f>
        <v>좋은사람들 차트보기</v>
      </c>
    </row>
    <row r="2683" spans="1:33" x14ac:dyDescent="0.3">
      <c r="A2683" t="s">
        <v>10689</v>
      </c>
      <c r="B2683" t="s">
        <v>55</v>
      </c>
      <c r="C2683" t="s">
        <v>10690</v>
      </c>
      <c r="D2683">
        <v>0</v>
      </c>
      <c r="E2683" t="s">
        <v>10293</v>
      </c>
      <c r="F2683">
        <v>0</v>
      </c>
      <c r="G2683">
        <v>1.370000004768372</v>
      </c>
      <c r="H2683">
        <v>0</v>
      </c>
      <c r="I2683">
        <v>0</v>
      </c>
      <c r="J2683" t="s">
        <v>10691</v>
      </c>
      <c r="K2683">
        <v>528</v>
      </c>
      <c r="L2683">
        <v>577</v>
      </c>
      <c r="M2683">
        <v>9.2799999999999994</v>
      </c>
      <c r="N2683">
        <v>0</v>
      </c>
      <c r="O2683">
        <v>0</v>
      </c>
      <c r="P2683">
        <v>20.71</v>
      </c>
      <c r="Q2683">
        <v>-1.64</v>
      </c>
      <c r="R2683">
        <v>-20.32</v>
      </c>
      <c r="S2683">
        <v>3.15</v>
      </c>
      <c r="T2683">
        <v>0</v>
      </c>
      <c r="U2683">
        <v>0</v>
      </c>
      <c r="V2683">
        <v>2.78</v>
      </c>
      <c r="W2683">
        <v>2.0499999999999998</v>
      </c>
      <c r="X2683">
        <v>2.4700000000000002</v>
      </c>
      <c r="Y2683">
        <v>1.59</v>
      </c>
      <c r="AB2683">
        <v>7.45</v>
      </c>
      <c r="AC2683">
        <v>0.8</v>
      </c>
      <c r="AD2683">
        <v>8.23</v>
      </c>
      <c r="AE2683">
        <v>1.98</v>
      </c>
      <c r="AG2683" t="str">
        <f>HYPERLINK("https://finance.naver.com/item/fchart.naver?code=036180", "지더블유바이텍 차트보기")</f>
        <v>지더블유바이텍 차트보기</v>
      </c>
    </row>
    <row r="2684" spans="1:33" x14ac:dyDescent="0.3">
      <c r="A2684" t="s">
        <v>10692</v>
      </c>
      <c r="B2684" t="s">
        <v>55</v>
      </c>
      <c r="C2684" t="s">
        <v>10693</v>
      </c>
      <c r="D2684">
        <v>344892.9</v>
      </c>
      <c r="E2684" t="s">
        <v>10694</v>
      </c>
      <c r="F2684">
        <v>0</v>
      </c>
      <c r="G2684">
        <v>0</v>
      </c>
      <c r="H2684">
        <v>0</v>
      </c>
      <c r="I2684">
        <v>0</v>
      </c>
      <c r="J2684" t="s">
        <v>10695</v>
      </c>
      <c r="K2684">
        <v>22250</v>
      </c>
      <c r="L2684">
        <v>7310</v>
      </c>
      <c r="M2684">
        <v>-67.150000000000006</v>
      </c>
      <c r="N2684">
        <v>-2.0099999999999998</v>
      </c>
      <c r="O2684">
        <v>-62.98</v>
      </c>
      <c r="P2684">
        <v>-0.67</v>
      </c>
      <c r="Q2684">
        <v>0</v>
      </c>
      <c r="R2684">
        <v>0</v>
      </c>
      <c r="S2684">
        <v>0</v>
      </c>
      <c r="T2684">
        <v>6.78</v>
      </c>
      <c r="U2684">
        <v>3.54</v>
      </c>
      <c r="W2684">
        <v>0</v>
      </c>
      <c r="X2684">
        <v>0</v>
      </c>
      <c r="Y2684">
        <v>0</v>
      </c>
      <c r="Z2684">
        <v>0.3</v>
      </c>
      <c r="AA2684">
        <v>17.79</v>
      </c>
      <c r="AG2684" t="str">
        <f>HYPERLINK("https://finance.naver.com/item/fchart.naver?code=351870", "차이커뮤니케이션 차트보기")</f>
        <v>차이커뮤니케이션 차트보기</v>
      </c>
    </row>
    <row r="2685" spans="1:33" x14ac:dyDescent="0.3">
      <c r="A2685" t="s">
        <v>10696</v>
      </c>
      <c r="B2685" t="s">
        <v>55</v>
      </c>
      <c r="C2685" t="s">
        <v>10697</v>
      </c>
      <c r="D2685">
        <v>0</v>
      </c>
      <c r="E2685" t="s">
        <v>10293</v>
      </c>
      <c r="F2685">
        <v>0</v>
      </c>
      <c r="G2685">
        <v>0.49000000953674322</v>
      </c>
      <c r="H2685">
        <v>0</v>
      </c>
      <c r="I2685">
        <v>0</v>
      </c>
      <c r="J2685" t="s">
        <v>10698</v>
      </c>
      <c r="K2685">
        <v>5400</v>
      </c>
      <c r="L2685">
        <v>5400</v>
      </c>
      <c r="M2685">
        <v>0</v>
      </c>
      <c r="N2685">
        <v>0</v>
      </c>
      <c r="O2685">
        <v>0</v>
      </c>
      <c r="P2685">
        <v>0</v>
      </c>
      <c r="Q2685">
        <v>0</v>
      </c>
      <c r="R2685">
        <v>0</v>
      </c>
      <c r="S2685">
        <v>0</v>
      </c>
      <c r="T2685">
        <v>0</v>
      </c>
      <c r="U2685">
        <v>0</v>
      </c>
      <c r="V2685">
        <v>0</v>
      </c>
      <c r="W2685">
        <v>0</v>
      </c>
      <c r="X2685">
        <v>0</v>
      </c>
      <c r="Y2685">
        <v>0</v>
      </c>
      <c r="AG2685" t="str">
        <f>HYPERLINK("https://finance.naver.com/item/fchart.naver?code=047820", "초록뱀미디어 차트보기")</f>
        <v>초록뱀미디어 차트보기</v>
      </c>
    </row>
    <row r="2686" spans="1:33" x14ac:dyDescent="0.3">
      <c r="A2686" t="s">
        <v>10699</v>
      </c>
      <c r="B2686" t="s">
        <v>55</v>
      </c>
      <c r="C2686" t="s">
        <v>10700</v>
      </c>
      <c r="D2686">
        <v>0</v>
      </c>
      <c r="E2686" t="s">
        <v>10293</v>
      </c>
      <c r="F2686">
        <v>0</v>
      </c>
      <c r="G2686">
        <v>0</v>
      </c>
      <c r="H2686">
        <v>0</v>
      </c>
      <c r="I2686">
        <v>0</v>
      </c>
      <c r="J2686" t="s">
        <v>10701</v>
      </c>
      <c r="K2686">
        <v>2160</v>
      </c>
      <c r="L2686">
        <v>2165</v>
      </c>
      <c r="M2686">
        <v>0.23</v>
      </c>
      <c r="N2686">
        <v>0</v>
      </c>
      <c r="O2686">
        <v>0</v>
      </c>
      <c r="P2686">
        <v>0</v>
      </c>
      <c r="Q2686">
        <v>0</v>
      </c>
      <c r="R2686">
        <v>-0.46</v>
      </c>
      <c r="S2686">
        <v>4.53</v>
      </c>
      <c r="T2686">
        <v>0</v>
      </c>
      <c r="U2686">
        <v>0</v>
      </c>
      <c r="V2686">
        <v>0</v>
      </c>
      <c r="W2686">
        <v>0</v>
      </c>
      <c r="X2686">
        <v>0.87</v>
      </c>
      <c r="Y2686">
        <v>1.1100000000000001</v>
      </c>
      <c r="AD2686">
        <v>0.53</v>
      </c>
      <c r="AE2686">
        <v>4.08</v>
      </c>
      <c r="AG2686" t="str">
        <f>HYPERLINK("https://finance.naver.com/item/fchart.naver?code=424140", "케이비제21호스팩 차트보기")</f>
        <v>케이비제21호스팩 차트보기</v>
      </c>
    </row>
    <row r="2687" spans="1:33" x14ac:dyDescent="0.3">
      <c r="A2687" t="s">
        <v>10702</v>
      </c>
      <c r="B2687" t="s">
        <v>55</v>
      </c>
      <c r="C2687" t="s">
        <v>10703</v>
      </c>
      <c r="D2687">
        <v>88596.95</v>
      </c>
      <c r="E2687" t="s">
        <v>10704</v>
      </c>
      <c r="F2687">
        <v>25.4</v>
      </c>
      <c r="G2687">
        <v>2.75</v>
      </c>
      <c r="H2687">
        <v>211</v>
      </c>
      <c r="I2687">
        <v>0</v>
      </c>
      <c r="J2687" t="s">
        <v>10705</v>
      </c>
      <c r="K2687">
        <v>10550</v>
      </c>
      <c r="L2687">
        <v>5360</v>
      </c>
      <c r="M2687">
        <v>-49.19</v>
      </c>
      <c r="N2687">
        <v>-0.74</v>
      </c>
      <c r="O2687">
        <v>-16.239999999999998</v>
      </c>
      <c r="P2687">
        <v>-27.77</v>
      </c>
      <c r="Q2687">
        <v>-12.99</v>
      </c>
      <c r="R2687">
        <v>0</v>
      </c>
      <c r="S2687">
        <v>0</v>
      </c>
      <c r="T2687">
        <v>2.87</v>
      </c>
      <c r="U2687">
        <v>2.2999999999999998</v>
      </c>
      <c r="V2687">
        <v>3.64</v>
      </c>
      <c r="W2687">
        <v>3.32</v>
      </c>
      <c r="X2687">
        <v>0</v>
      </c>
      <c r="Y2687">
        <v>0</v>
      </c>
      <c r="Z2687">
        <v>0.26</v>
      </c>
      <c r="AA2687">
        <v>7.06</v>
      </c>
      <c r="AB2687">
        <v>7.63</v>
      </c>
      <c r="AC2687">
        <v>3.91</v>
      </c>
      <c r="AG2687" t="str">
        <f>HYPERLINK("https://finance.naver.com/item/fchart.naver?code=431190", "케이쓰리아이 차트보기")</f>
        <v>케이쓰리아이 차트보기</v>
      </c>
    </row>
    <row r="2688" spans="1:33" x14ac:dyDescent="0.3">
      <c r="A2688" t="s">
        <v>10706</v>
      </c>
      <c r="B2688" t="s">
        <v>55</v>
      </c>
      <c r="C2688" t="s">
        <v>10707</v>
      </c>
      <c r="D2688">
        <v>0</v>
      </c>
      <c r="E2688" t="s">
        <v>10293</v>
      </c>
      <c r="F2688">
        <v>0</v>
      </c>
      <c r="G2688">
        <v>0</v>
      </c>
      <c r="H2688">
        <v>0</v>
      </c>
      <c r="I2688">
        <v>0</v>
      </c>
      <c r="J2688" t="s">
        <v>10708</v>
      </c>
      <c r="K2688">
        <v>10280</v>
      </c>
      <c r="L2688">
        <v>10280</v>
      </c>
      <c r="M2688">
        <v>0</v>
      </c>
      <c r="N2688">
        <v>0</v>
      </c>
      <c r="O2688">
        <v>0</v>
      </c>
      <c r="P2688">
        <v>0</v>
      </c>
      <c r="Q2688">
        <v>0</v>
      </c>
      <c r="R2688">
        <v>0</v>
      </c>
      <c r="S2688">
        <v>0</v>
      </c>
      <c r="T2688">
        <v>0</v>
      </c>
      <c r="U2688">
        <v>0</v>
      </c>
      <c r="V2688">
        <v>0</v>
      </c>
      <c r="W2688">
        <v>0</v>
      </c>
      <c r="X2688">
        <v>0</v>
      </c>
      <c r="Y2688">
        <v>0</v>
      </c>
      <c r="AG2688" t="str">
        <f>HYPERLINK("https://finance.naver.com/item/fchart.naver?code=046070", "코다코 차트보기")</f>
        <v>코다코 차트보기</v>
      </c>
    </row>
    <row r="2689" spans="1:33" x14ac:dyDescent="0.3">
      <c r="A2689" t="s">
        <v>10709</v>
      </c>
      <c r="B2689" t="s">
        <v>55</v>
      </c>
      <c r="C2689" t="s">
        <v>10710</v>
      </c>
      <c r="D2689">
        <v>0</v>
      </c>
      <c r="E2689" t="s">
        <v>10293</v>
      </c>
      <c r="F2689">
        <v>0</v>
      </c>
      <c r="G2689">
        <v>1.1599999666213989</v>
      </c>
      <c r="H2689">
        <v>0</v>
      </c>
      <c r="I2689">
        <v>0</v>
      </c>
      <c r="J2689" t="s">
        <v>10711</v>
      </c>
      <c r="K2689">
        <v>2885</v>
      </c>
      <c r="L2689">
        <v>2885</v>
      </c>
      <c r="M2689">
        <v>0</v>
      </c>
      <c r="N2689">
        <v>0</v>
      </c>
      <c r="O2689">
        <v>0</v>
      </c>
      <c r="P2689">
        <v>0</v>
      </c>
      <c r="Q2689">
        <v>0</v>
      </c>
      <c r="R2689">
        <v>0</v>
      </c>
      <c r="S2689">
        <v>0</v>
      </c>
      <c r="T2689">
        <v>0</v>
      </c>
      <c r="U2689">
        <v>0</v>
      </c>
      <c r="V2689">
        <v>0</v>
      </c>
      <c r="W2689">
        <v>0</v>
      </c>
      <c r="X2689">
        <v>0</v>
      </c>
      <c r="Y2689">
        <v>0</v>
      </c>
      <c r="AG2689" t="str">
        <f>HYPERLINK("https://finance.naver.com/item/fchart.naver?code=036690", "코맥스 차트보기")</f>
        <v>코맥스 차트보기</v>
      </c>
    </row>
    <row r="2690" spans="1:33" x14ac:dyDescent="0.3">
      <c r="A2690" t="s">
        <v>10712</v>
      </c>
      <c r="B2690" t="s">
        <v>55</v>
      </c>
      <c r="C2690" t="s">
        <v>10713</v>
      </c>
      <c r="D2690">
        <v>0</v>
      </c>
      <c r="E2690" t="s">
        <v>10293</v>
      </c>
      <c r="F2690">
        <v>0</v>
      </c>
      <c r="G2690">
        <v>1.200000047683716</v>
      </c>
      <c r="H2690">
        <v>0</v>
      </c>
      <c r="I2690">
        <v>0</v>
      </c>
      <c r="J2690" t="s">
        <v>10714</v>
      </c>
      <c r="K2690">
        <v>422</v>
      </c>
      <c r="L2690">
        <v>480</v>
      </c>
      <c r="M2690">
        <v>13.74</v>
      </c>
      <c r="N2690">
        <v>0</v>
      </c>
      <c r="O2690">
        <v>0</v>
      </c>
      <c r="P2690">
        <v>0</v>
      </c>
      <c r="Q2690">
        <v>9.84</v>
      </c>
      <c r="R2690">
        <v>-11.5</v>
      </c>
      <c r="S2690">
        <v>1.79</v>
      </c>
      <c r="T2690">
        <v>0</v>
      </c>
      <c r="U2690">
        <v>0</v>
      </c>
      <c r="V2690">
        <v>0</v>
      </c>
      <c r="W2690">
        <v>3.92</v>
      </c>
      <c r="X2690">
        <v>5.43</v>
      </c>
      <c r="Y2690">
        <v>4.7</v>
      </c>
      <c r="AC2690">
        <v>2.5099999999999998</v>
      </c>
      <c r="AD2690">
        <v>2.12</v>
      </c>
      <c r="AE2690">
        <v>0.38</v>
      </c>
      <c r="AG2690" t="str">
        <f>HYPERLINK("https://finance.naver.com/item/fchart.naver?code=082660", "코스나인 차트보기")</f>
        <v>코스나인 차트보기</v>
      </c>
    </row>
    <row r="2691" spans="1:33" x14ac:dyDescent="0.3">
      <c r="A2691" t="s">
        <v>10715</v>
      </c>
      <c r="B2691" t="s">
        <v>55</v>
      </c>
      <c r="C2691" t="s">
        <v>10716</v>
      </c>
      <c r="D2691">
        <v>0</v>
      </c>
      <c r="E2691" t="s">
        <v>10293</v>
      </c>
      <c r="F2691">
        <v>0</v>
      </c>
      <c r="G2691">
        <v>5.570000171661377</v>
      </c>
      <c r="H2691">
        <v>0</v>
      </c>
      <c r="I2691">
        <v>0</v>
      </c>
      <c r="J2691" t="s">
        <v>10717</v>
      </c>
      <c r="K2691">
        <v>2855</v>
      </c>
      <c r="L2691">
        <v>2855</v>
      </c>
      <c r="M2691">
        <v>0</v>
      </c>
      <c r="N2691">
        <v>0</v>
      </c>
      <c r="O2691">
        <v>0</v>
      </c>
      <c r="P2691">
        <v>0</v>
      </c>
      <c r="Q2691">
        <v>0</v>
      </c>
      <c r="R2691">
        <v>0</v>
      </c>
      <c r="S2691">
        <v>0</v>
      </c>
      <c r="T2691">
        <v>0</v>
      </c>
      <c r="U2691">
        <v>0</v>
      </c>
      <c r="V2691">
        <v>0</v>
      </c>
      <c r="W2691">
        <v>0</v>
      </c>
      <c r="X2691">
        <v>0</v>
      </c>
      <c r="Y2691">
        <v>0</v>
      </c>
      <c r="AG2691" t="str">
        <f>HYPERLINK("https://finance.naver.com/item/fchart.naver?code=078940", "퀀타피아 차트보기")</f>
        <v>퀀타피아 차트보기</v>
      </c>
    </row>
    <row r="2692" spans="1:33" x14ac:dyDescent="0.3">
      <c r="A2692" t="s">
        <v>10718</v>
      </c>
      <c r="B2692" t="s">
        <v>55</v>
      </c>
      <c r="C2692" t="s">
        <v>10719</v>
      </c>
      <c r="D2692">
        <v>55433.86</v>
      </c>
      <c r="E2692" t="s">
        <v>10720</v>
      </c>
      <c r="F2692">
        <v>0</v>
      </c>
      <c r="G2692">
        <v>0</v>
      </c>
      <c r="H2692">
        <v>0</v>
      </c>
      <c r="I2692">
        <v>0</v>
      </c>
      <c r="J2692" t="s">
        <v>10721</v>
      </c>
      <c r="K2692">
        <v>2220</v>
      </c>
      <c r="L2692">
        <v>2450</v>
      </c>
      <c r="M2692">
        <v>10.36</v>
      </c>
      <c r="N2692">
        <v>-12.81</v>
      </c>
      <c r="O2692">
        <v>-0.87</v>
      </c>
      <c r="P2692">
        <v>24.78</v>
      </c>
      <c r="Q2692">
        <v>0</v>
      </c>
      <c r="R2692">
        <v>-3.45</v>
      </c>
      <c r="S2692">
        <v>10.61</v>
      </c>
      <c r="T2692">
        <v>1.91</v>
      </c>
      <c r="U2692">
        <v>2.4500000000000002</v>
      </c>
      <c r="V2692">
        <v>6.39</v>
      </c>
      <c r="W2692">
        <v>0</v>
      </c>
      <c r="X2692">
        <v>2.41</v>
      </c>
      <c r="Y2692">
        <v>1.29</v>
      </c>
      <c r="Z2692">
        <v>6.71</v>
      </c>
      <c r="AA2692">
        <v>0.36</v>
      </c>
      <c r="AB2692">
        <v>3.88</v>
      </c>
      <c r="AD2692">
        <v>1.43</v>
      </c>
      <c r="AE2692">
        <v>8.2200000000000006</v>
      </c>
      <c r="AG2692" t="str">
        <f>HYPERLINK("https://finance.naver.com/item/fchart.naver?code=413600", "키움제6호스팩 차트보기")</f>
        <v>키움제6호스팩 차트보기</v>
      </c>
    </row>
    <row r="2693" spans="1:33" x14ac:dyDescent="0.3">
      <c r="A2693" t="s">
        <v>10722</v>
      </c>
      <c r="B2693" t="s">
        <v>55</v>
      </c>
      <c r="C2693" t="s">
        <v>10723</v>
      </c>
      <c r="D2693">
        <v>45127.38</v>
      </c>
      <c r="E2693" t="s">
        <v>10724</v>
      </c>
      <c r="F2693">
        <v>0</v>
      </c>
      <c r="G2693">
        <v>0</v>
      </c>
      <c r="H2693">
        <v>0</v>
      </c>
      <c r="I2693">
        <v>0</v>
      </c>
      <c r="J2693" t="s">
        <v>10725</v>
      </c>
      <c r="K2693">
        <v>2150</v>
      </c>
      <c r="L2693">
        <v>2150</v>
      </c>
      <c r="M2693">
        <v>0</v>
      </c>
      <c r="N2693">
        <v>-10.97</v>
      </c>
      <c r="O2693">
        <v>-0.61</v>
      </c>
      <c r="P2693">
        <v>0</v>
      </c>
      <c r="Q2693">
        <v>0</v>
      </c>
      <c r="R2693">
        <v>11.82</v>
      </c>
      <c r="S2693">
        <v>2.09</v>
      </c>
      <c r="T2693">
        <v>2.5</v>
      </c>
      <c r="U2693">
        <v>2.2999999999999998</v>
      </c>
      <c r="V2693">
        <v>0</v>
      </c>
      <c r="W2693">
        <v>0</v>
      </c>
      <c r="X2693">
        <v>2.13</v>
      </c>
      <c r="Y2693">
        <v>0.43</v>
      </c>
      <c r="Z2693">
        <v>4.3899999999999997</v>
      </c>
      <c r="AA2693">
        <v>0.27</v>
      </c>
      <c r="AD2693">
        <v>5.55</v>
      </c>
      <c r="AE2693">
        <v>4.8600000000000003</v>
      </c>
      <c r="AG2693" t="str">
        <f>HYPERLINK("https://finance.naver.com/item/fchart.naver?code=433530", "키움제7호스팩 차트보기")</f>
        <v>키움제7호스팩 차트보기</v>
      </c>
    </row>
    <row r="2694" spans="1:33" x14ac:dyDescent="0.3">
      <c r="A2694" t="s">
        <v>10726</v>
      </c>
      <c r="B2694" t="s">
        <v>55</v>
      </c>
      <c r="C2694" t="s">
        <v>10727</v>
      </c>
      <c r="D2694">
        <v>0</v>
      </c>
      <c r="E2694" t="s">
        <v>10293</v>
      </c>
      <c r="F2694">
        <v>0</v>
      </c>
      <c r="G2694">
        <v>0.80000001192092896</v>
      </c>
      <c r="H2694">
        <v>0</v>
      </c>
      <c r="I2694">
        <v>0</v>
      </c>
      <c r="J2694" t="s">
        <v>10728</v>
      </c>
      <c r="K2694">
        <v>654</v>
      </c>
      <c r="L2694">
        <v>654</v>
      </c>
      <c r="M2694">
        <v>0</v>
      </c>
      <c r="N2694">
        <v>0</v>
      </c>
      <c r="O2694">
        <v>0</v>
      </c>
      <c r="P2694">
        <v>0</v>
      </c>
      <c r="Q2694">
        <v>0</v>
      </c>
      <c r="R2694">
        <v>0</v>
      </c>
      <c r="S2694">
        <v>0</v>
      </c>
      <c r="T2694">
        <v>0</v>
      </c>
      <c r="U2694">
        <v>0</v>
      </c>
      <c r="V2694">
        <v>0</v>
      </c>
      <c r="W2694">
        <v>0</v>
      </c>
      <c r="X2694">
        <v>0</v>
      </c>
      <c r="Y2694">
        <v>0</v>
      </c>
      <c r="AG2694" t="str">
        <f>HYPERLINK("https://finance.naver.com/item/fchart.naver?code=073640", "테라사이언스 차트보기")</f>
        <v>테라사이언스 차트보기</v>
      </c>
    </row>
    <row r="2695" spans="1:33" x14ac:dyDescent="0.3">
      <c r="A2695" t="s">
        <v>10729</v>
      </c>
      <c r="B2695" t="s">
        <v>55</v>
      </c>
      <c r="C2695" t="s">
        <v>10730</v>
      </c>
      <c r="D2695">
        <v>196928.62</v>
      </c>
      <c r="E2695" t="s">
        <v>10731</v>
      </c>
      <c r="F2695">
        <v>12.18</v>
      </c>
      <c r="G2695">
        <v>2.4900000095367432</v>
      </c>
      <c r="H2695">
        <v>1101</v>
      </c>
      <c r="I2695">
        <v>0</v>
      </c>
      <c r="J2695" t="s">
        <v>10732</v>
      </c>
      <c r="K2695">
        <v>52000</v>
      </c>
      <c r="L2695">
        <v>13410</v>
      </c>
      <c r="M2695">
        <v>-74.209999999999994</v>
      </c>
      <c r="N2695">
        <v>-4.6900000000000004</v>
      </c>
      <c r="O2695">
        <v>-25.26</v>
      </c>
      <c r="P2695">
        <v>-54.17</v>
      </c>
      <c r="Q2695">
        <v>-23.27</v>
      </c>
      <c r="R2695">
        <v>0</v>
      </c>
      <c r="S2695">
        <v>0</v>
      </c>
      <c r="T2695">
        <v>3.11</v>
      </c>
      <c r="U2695">
        <v>3.66</v>
      </c>
      <c r="V2695">
        <v>8.8000000000000007</v>
      </c>
      <c r="W2695">
        <v>16.68</v>
      </c>
      <c r="X2695">
        <v>0</v>
      </c>
      <c r="Y2695">
        <v>0</v>
      </c>
      <c r="Z2695">
        <v>1.51</v>
      </c>
      <c r="AA2695">
        <v>6.9</v>
      </c>
      <c r="AB2695">
        <v>6.16</v>
      </c>
      <c r="AC2695">
        <v>1.4</v>
      </c>
      <c r="AG2695" t="str">
        <f>HYPERLINK("https://finance.naver.com/item/fchart.naver?code=464280", "티디에스팜 차트보기")</f>
        <v>티디에스팜 차트보기</v>
      </c>
    </row>
    <row r="2696" spans="1:33" x14ac:dyDescent="0.3">
      <c r="A2696" t="s">
        <v>10733</v>
      </c>
      <c r="B2696" t="s">
        <v>55</v>
      </c>
      <c r="C2696" t="s">
        <v>10734</v>
      </c>
      <c r="D2696">
        <v>38880.1</v>
      </c>
      <c r="E2696" t="s">
        <v>10735</v>
      </c>
      <c r="F2696">
        <v>0</v>
      </c>
      <c r="G2696">
        <v>0.49000000953674322</v>
      </c>
      <c r="H2696">
        <v>0</v>
      </c>
      <c r="I2696">
        <v>0</v>
      </c>
      <c r="J2696" t="s">
        <v>10736</v>
      </c>
      <c r="K2696">
        <v>5800</v>
      </c>
      <c r="L2696">
        <v>3740</v>
      </c>
      <c r="M2696">
        <v>-35.520000000000003</v>
      </c>
      <c r="N2696">
        <v>-35.520000000000003</v>
      </c>
      <c r="O2696">
        <v>0</v>
      </c>
      <c r="P2696">
        <v>0</v>
      </c>
      <c r="Q2696">
        <v>0</v>
      </c>
      <c r="R2696">
        <v>0</v>
      </c>
      <c r="S2696">
        <v>0</v>
      </c>
      <c r="T2696">
        <v>18.38</v>
      </c>
      <c r="U2696">
        <v>0</v>
      </c>
      <c r="V2696">
        <v>0</v>
      </c>
      <c r="W2696">
        <v>0</v>
      </c>
      <c r="X2696">
        <v>0</v>
      </c>
      <c r="Y2696">
        <v>0</v>
      </c>
      <c r="Z2696">
        <v>1.93</v>
      </c>
      <c r="AG2696" t="str">
        <f>HYPERLINK("https://finance.naver.com/item/fchart.naver?code=062860", "티엘아이 차트보기")</f>
        <v>티엘아이 차트보기</v>
      </c>
    </row>
    <row r="2697" spans="1:33" x14ac:dyDescent="0.3">
      <c r="A2697" t="s">
        <v>10737</v>
      </c>
      <c r="B2697" t="s">
        <v>55</v>
      </c>
      <c r="C2697" t="s">
        <v>10738</v>
      </c>
      <c r="D2697">
        <v>0</v>
      </c>
      <c r="E2697" t="s">
        <v>10293</v>
      </c>
      <c r="F2697">
        <v>0</v>
      </c>
      <c r="G2697">
        <v>5.309999942779541</v>
      </c>
      <c r="H2697">
        <v>0</v>
      </c>
      <c r="I2697">
        <v>0</v>
      </c>
      <c r="J2697" t="s">
        <v>10739</v>
      </c>
      <c r="K2697">
        <v>2915</v>
      </c>
      <c r="L2697">
        <v>2915</v>
      </c>
      <c r="M2697">
        <v>0</v>
      </c>
      <c r="N2697">
        <v>0</v>
      </c>
      <c r="O2697">
        <v>0</v>
      </c>
      <c r="P2697">
        <v>0</v>
      </c>
      <c r="Q2697">
        <v>0</v>
      </c>
      <c r="R2697">
        <v>0</v>
      </c>
      <c r="S2697">
        <v>0</v>
      </c>
      <c r="T2697">
        <v>0</v>
      </c>
      <c r="U2697">
        <v>0</v>
      </c>
      <c r="V2697">
        <v>0</v>
      </c>
      <c r="W2697">
        <v>0</v>
      </c>
      <c r="X2697">
        <v>0</v>
      </c>
      <c r="Y2697">
        <v>0</v>
      </c>
      <c r="AG2697" t="str">
        <f>HYPERLINK("https://finance.naver.com/item/fchart.naver?code=208340", "파멥신 차트보기")</f>
        <v>파멥신 차트보기</v>
      </c>
    </row>
    <row r="2698" spans="1:33" x14ac:dyDescent="0.3">
      <c r="A2698" t="s">
        <v>10740</v>
      </c>
      <c r="B2698" t="s">
        <v>55</v>
      </c>
      <c r="C2698" t="s">
        <v>10741</v>
      </c>
      <c r="D2698">
        <v>0</v>
      </c>
      <c r="E2698" t="s">
        <v>10293</v>
      </c>
      <c r="F2698">
        <v>0</v>
      </c>
      <c r="G2698">
        <v>214.38999938964841</v>
      </c>
      <c r="H2698">
        <v>0</v>
      </c>
      <c r="I2698">
        <v>0</v>
      </c>
      <c r="J2698" t="s">
        <v>10742</v>
      </c>
      <c r="K2698">
        <v>8790</v>
      </c>
      <c r="L2698">
        <v>8790</v>
      </c>
      <c r="M2698">
        <v>0</v>
      </c>
      <c r="N2698">
        <v>0</v>
      </c>
      <c r="O2698">
        <v>0</v>
      </c>
      <c r="P2698">
        <v>0</v>
      </c>
      <c r="Q2698">
        <v>0</v>
      </c>
      <c r="R2698">
        <v>0</v>
      </c>
      <c r="S2698">
        <v>0</v>
      </c>
      <c r="T2698">
        <v>0</v>
      </c>
      <c r="U2698">
        <v>0</v>
      </c>
      <c r="V2698">
        <v>0</v>
      </c>
      <c r="W2698">
        <v>0</v>
      </c>
      <c r="X2698">
        <v>0</v>
      </c>
      <c r="Y2698">
        <v>0</v>
      </c>
      <c r="AG2698" t="str">
        <f>HYPERLINK("https://finance.naver.com/item/fchart.naver?code=057880", "푸른소나무 차트보기")</f>
        <v>푸른소나무 차트보기</v>
      </c>
    </row>
    <row r="2699" spans="1:33" x14ac:dyDescent="0.3">
      <c r="A2699" t="s">
        <v>10743</v>
      </c>
      <c r="B2699" t="s">
        <v>55</v>
      </c>
      <c r="C2699" t="s">
        <v>10744</v>
      </c>
      <c r="D2699">
        <v>0</v>
      </c>
      <c r="E2699" t="s">
        <v>10293</v>
      </c>
      <c r="F2699">
        <v>0</v>
      </c>
      <c r="G2699">
        <v>3.3900001049041748</v>
      </c>
      <c r="H2699">
        <v>0</v>
      </c>
      <c r="I2699">
        <v>0</v>
      </c>
      <c r="J2699" t="s">
        <v>10745</v>
      </c>
      <c r="K2699">
        <v>640</v>
      </c>
      <c r="L2699">
        <v>640</v>
      </c>
      <c r="M2699">
        <v>0</v>
      </c>
      <c r="N2699">
        <v>0</v>
      </c>
      <c r="O2699">
        <v>0</v>
      </c>
      <c r="P2699">
        <v>0</v>
      </c>
      <c r="Q2699">
        <v>0</v>
      </c>
      <c r="R2699">
        <v>0</v>
      </c>
      <c r="S2699">
        <v>0</v>
      </c>
      <c r="T2699">
        <v>0</v>
      </c>
      <c r="U2699">
        <v>0</v>
      </c>
      <c r="V2699">
        <v>0</v>
      </c>
      <c r="W2699">
        <v>0</v>
      </c>
      <c r="X2699">
        <v>0</v>
      </c>
      <c r="Y2699">
        <v>0</v>
      </c>
      <c r="AG2699" t="str">
        <f>HYPERLINK("https://finance.naver.com/item/fchart.naver?code=151910", "퓨처코어 차트보기")</f>
        <v>퓨처코어 차트보기</v>
      </c>
    </row>
    <row r="2700" spans="1:33" x14ac:dyDescent="0.3">
      <c r="A2700" t="s">
        <v>10746</v>
      </c>
      <c r="B2700" t="s">
        <v>55</v>
      </c>
      <c r="C2700" t="s">
        <v>10747</v>
      </c>
      <c r="D2700">
        <v>0</v>
      </c>
      <c r="E2700" t="s">
        <v>10293</v>
      </c>
      <c r="F2700">
        <v>0</v>
      </c>
      <c r="G2700">
        <v>3.0499999523162842</v>
      </c>
      <c r="H2700">
        <v>0</v>
      </c>
      <c r="I2700">
        <v>0</v>
      </c>
      <c r="J2700" t="s">
        <v>10748</v>
      </c>
      <c r="K2700">
        <v>789</v>
      </c>
      <c r="L2700">
        <v>789</v>
      </c>
      <c r="M2700">
        <v>0</v>
      </c>
      <c r="N2700">
        <v>0</v>
      </c>
      <c r="O2700">
        <v>0</v>
      </c>
      <c r="P2700">
        <v>0</v>
      </c>
      <c r="Q2700">
        <v>0</v>
      </c>
      <c r="R2700">
        <v>0</v>
      </c>
      <c r="S2700">
        <v>0</v>
      </c>
      <c r="T2700">
        <v>0</v>
      </c>
      <c r="U2700">
        <v>0</v>
      </c>
      <c r="V2700">
        <v>0</v>
      </c>
      <c r="W2700">
        <v>0</v>
      </c>
      <c r="X2700">
        <v>0</v>
      </c>
      <c r="Y2700">
        <v>0</v>
      </c>
      <c r="AG2700" t="str">
        <f>HYPERLINK("https://finance.naver.com/item/fchart.naver?code=041590", "플래스크 차트보기")</f>
        <v>플래스크 차트보기</v>
      </c>
    </row>
    <row r="2701" spans="1:33" x14ac:dyDescent="0.3">
      <c r="A2701" t="s">
        <v>10749</v>
      </c>
      <c r="B2701" t="s">
        <v>55</v>
      </c>
      <c r="C2701" t="s">
        <v>10750</v>
      </c>
      <c r="D2701">
        <v>66290.67</v>
      </c>
      <c r="E2701" t="s">
        <v>10751</v>
      </c>
      <c r="F2701">
        <v>35.86</v>
      </c>
      <c r="G2701">
        <v>6.5799999237060547</v>
      </c>
      <c r="H2701">
        <v>278</v>
      </c>
      <c r="I2701">
        <v>0</v>
      </c>
      <c r="J2701" t="s">
        <v>10752</v>
      </c>
      <c r="K2701">
        <v>25050</v>
      </c>
      <c r="L2701">
        <v>9970</v>
      </c>
      <c r="M2701">
        <v>-60.2</v>
      </c>
      <c r="N2701">
        <v>-3.86</v>
      </c>
      <c r="O2701">
        <v>-20.8</v>
      </c>
      <c r="P2701">
        <v>-17.04</v>
      </c>
      <c r="Q2701">
        <v>-41.04</v>
      </c>
      <c r="R2701">
        <v>0</v>
      </c>
      <c r="S2701">
        <v>0</v>
      </c>
      <c r="T2701">
        <v>3.57</v>
      </c>
      <c r="U2701">
        <v>2.88</v>
      </c>
      <c r="V2701">
        <v>8.5299999999999994</v>
      </c>
      <c r="W2701">
        <v>6.41</v>
      </c>
      <c r="Y2701">
        <v>0</v>
      </c>
      <c r="Z2701">
        <v>1.08</v>
      </c>
      <c r="AA2701">
        <v>7.22</v>
      </c>
      <c r="AB2701">
        <v>2</v>
      </c>
      <c r="AC2701">
        <v>6.4</v>
      </c>
      <c r="AG2701" t="str">
        <f>HYPERLINK("https://finance.naver.com/item/fchart.naver?code=460940", "피앤에스미캐닉스 차트보기")</f>
        <v>피앤에스미캐닉스 차트보기</v>
      </c>
    </row>
    <row r="2702" spans="1:33" x14ac:dyDescent="0.3">
      <c r="A2702" t="s">
        <v>10753</v>
      </c>
      <c r="B2702" t="s">
        <v>55</v>
      </c>
      <c r="C2702" t="s">
        <v>10754</v>
      </c>
      <c r="D2702">
        <v>98635.76</v>
      </c>
      <c r="E2702" t="s">
        <v>10755</v>
      </c>
      <c r="F2702">
        <v>0</v>
      </c>
      <c r="G2702">
        <v>1.639999985694885</v>
      </c>
      <c r="H2702">
        <v>0</v>
      </c>
      <c r="I2702">
        <v>0</v>
      </c>
      <c r="J2702" t="s">
        <v>10756</v>
      </c>
      <c r="K2702">
        <v>9210</v>
      </c>
      <c r="L2702">
        <v>3455</v>
      </c>
      <c r="M2702">
        <v>-62.49</v>
      </c>
      <c r="N2702">
        <v>-18.899999999999999</v>
      </c>
      <c r="O2702">
        <v>-52.01</v>
      </c>
      <c r="P2702">
        <v>0</v>
      </c>
      <c r="Q2702">
        <v>0</v>
      </c>
      <c r="R2702">
        <v>0</v>
      </c>
      <c r="S2702">
        <v>0</v>
      </c>
      <c r="T2702">
        <v>4.09</v>
      </c>
      <c r="U2702">
        <v>4.91</v>
      </c>
      <c r="V2702">
        <v>0</v>
      </c>
      <c r="W2702">
        <v>0</v>
      </c>
      <c r="X2702">
        <v>0</v>
      </c>
      <c r="Y2702">
        <v>0</v>
      </c>
      <c r="Z2702">
        <v>4.62</v>
      </c>
      <c r="AA2702">
        <v>10.59</v>
      </c>
      <c r="AG2702" t="str">
        <f>HYPERLINK("https://finance.naver.com/item/fchart.naver?code=257370", "피엔티엠에스 차트보기")</f>
        <v>피엔티엠에스 차트보기</v>
      </c>
    </row>
    <row r="2703" spans="1:33" x14ac:dyDescent="0.3">
      <c r="A2703" t="s">
        <v>10757</v>
      </c>
      <c r="B2703" t="s">
        <v>55</v>
      </c>
      <c r="C2703" t="s">
        <v>10758</v>
      </c>
      <c r="D2703">
        <v>109217.14</v>
      </c>
      <c r="E2703" t="s">
        <v>10759</v>
      </c>
      <c r="F2703">
        <v>0</v>
      </c>
      <c r="G2703">
        <v>0</v>
      </c>
      <c r="H2703">
        <v>0</v>
      </c>
      <c r="I2703">
        <v>0</v>
      </c>
      <c r="J2703" t="s">
        <v>10760</v>
      </c>
      <c r="K2703">
        <v>2135</v>
      </c>
      <c r="L2703">
        <v>1889</v>
      </c>
      <c r="M2703">
        <v>-11.52</v>
      </c>
      <c r="N2703">
        <v>-9.4</v>
      </c>
      <c r="O2703">
        <v>0</v>
      </c>
      <c r="P2703">
        <v>-1.66</v>
      </c>
      <c r="Q2703">
        <v>-0.7</v>
      </c>
      <c r="R2703">
        <v>0</v>
      </c>
      <c r="S2703">
        <v>0</v>
      </c>
      <c r="T2703">
        <v>1.67</v>
      </c>
      <c r="U2703">
        <v>0.43</v>
      </c>
      <c r="V2703">
        <v>1.05</v>
      </c>
      <c r="W2703">
        <v>1.82</v>
      </c>
      <c r="X2703">
        <v>0</v>
      </c>
      <c r="Y2703">
        <v>0</v>
      </c>
      <c r="Z2703">
        <v>5.63</v>
      </c>
      <c r="AA2703">
        <v>0</v>
      </c>
      <c r="AB2703">
        <v>1.58</v>
      </c>
      <c r="AC2703">
        <v>0.38</v>
      </c>
      <c r="AG2703" t="str">
        <f>HYPERLINK("https://finance.naver.com/item/fchart.naver?code=406760", "하나금융21호스팩 차트보기")</f>
        <v>하나금융21호스팩 차트보기</v>
      </c>
    </row>
    <row r="2704" spans="1:33" x14ac:dyDescent="0.3">
      <c r="A2704" t="s">
        <v>10761</v>
      </c>
      <c r="B2704" t="s">
        <v>55</v>
      </c>
      <c r="C2704" t="s">
        <v>10762</v>
      </c>
      <c r="D2704">
        <v>64574.38</v>
      </c>
      <c r="E2704" t="s">
        <v>10763</v>
      </c>
      <c r="F2704">
        <v>0</v>
      </c>
      <c r="G2704">
        <v>0</v>
      </c>
      <c r="H2704">
        <v>0</v>
      </c>
      <c r="I2704">
        <v>0</v>
      </c>
      <c r="J2704" t="s">
        <v>10764</v>
      </c>
      <c r="K2704">
        <v>2380</v>
      </c>
      <c r="L2704">
        <v>2155</v>
      </c>
      <c r="M2704">
        <v>-9.4499999999999993</v>
      </c>
      <c r="N2704">
        <v>-8.49</v>
      </c>
      <c r="O2704">
        <v>3.08</v>
      </c>
      <c r="P2704">
        <v>4.9400000000000004</v>
      </c>
      <c r="Q2704">
        <v>-10.92</v>
      </c>
      <c r="R2704">
        <v>0</v>
      </c>
      <c r="S2704">
        <v>0</v>
      </c>
      <c r="T2704">
        <v>1.1499999999999999</v>
      </c>
      <c r="U2704">
        <v>3.39</v>
      </c>
      <c r="V2704">
        <v>5.2</v>
      </c>
      <c r="W2704">
        <v>2.42</v>
      </c>
      <c r="X2704">
        <v>0</v>
      </c>
      <c r="Y2704">
        <v>0</v>
      </c>
      <c r="Z2704">
        <v>7.38</v>
      </c>
      <c r="AA2704">
        <v>0.91</v>
      </c>
      <c r="AB2704">
        <v>0.95</v>
      </c>
      <c r="AC2704">
        <v>4.51</v>
      </c>
      <c r="AG2704" t="str">
        <f>HYPERLINK("https://finance.naver.com/item/fchart.naver?code=418170", "하나금융22호스팩 차트보기")</f>
        <v>하나금융22호스팩 차트보기</v>
      </c>
    </row>
    <row r="2705" spans="1:33" x14ac:dyDescent="0.3">
      <c r="A2705" t="s">
        <v>10765</v>
      </c>
      <c r="B2705" t="s">
        <v>55</v>
      </c>
      <c r="C2705" t="s">
        <v>10766</v>
      </c>
      <c r="D2705">
        <v>50584.57</v>
      </c>
      <c r="E2705" t="s">
        <v>10767</v>
      </c>
      <c r="F2705">
        <v>27.26</v>
      </c>
      <c r="G2705">
        <v>3.2599999904632568</v>
      </c>
      <c r="H2705">
        <v>303</v>
      </c>
      <c r="I2705">
        <v>0</v>
      </c>
      <c r="J2705" t="s">
        <v>10768</v>
      </c>
      <c r="K2705">
        <v>17150</v>
      </c>
      <c r="L2705">
        <v>8260</v>
      </c>
      <c r="M2705">
        <v>-51.84</v>
      </c>
      <c r="N2705">
        <v>5.76</v>
      </c>
      <c r="O2705">
        <v>-10.77</v>
      </c>
      <c r="P2705">
        <v>-26.14</v>
      </c>
      <c r="Q2705">
        <v>-13.62</v>
      </c>
      <c r="R2705">
        <v>-31.49</v>
      </c>
      <c r="S2705">
        <v>0</v>
      </c>
      <c r="T2705">
        <v>3.92</v>
      </c>
      <c r="U2705">
        <v>2.12</v>
      </c>
      <c r="V2705">
        <v>2.86</v>
      </c>
      <c r="W2705">
        <v>5.88</v>
      </c>
      <c r="X2705">
        <v>6.07</v>
      </c>
      <c r="Y2705">
        <v>0</v>
      </c>
      <c r="Z2705">
        <v>1.47</v>
      </c>
      <c r="AA2705">
        <v>5.08</v>
      </c>
      <c r="AB2705">
        <v>9.14</v>
      </c>
      <c r="AC2705">
        <v>2.3199999999999998</v>
      </c>
      <c r="AD2705">
        <v>5.19</v>
      </c>
      <c r="AG2705" t="str">
        <f>HYPERLINK("https://finance.naver.com/item/fchart.naver?code=450330", "하스 차트보기")</f>
        <v>하스 차트보기</v>
      </c>
    </row>
    <row r="2706" spans="1:33" x14ac:dyDescent="0.3">
      <c r="A2706" t="s">
        <v>10769</v>
      </c>
      <c r="B2706" t="s">
        <v>55</v>
      </c>
      <c r="C2706" t="s">
        <v>10770</v>
      </c>
      <c r="D2706">
        <v>456932.52</v>
      </c>
      <c r="E2706" t="s">
        <v>10771</v>
      </c>
      <c r="F2706">
        <v>80.92</v>
      </c>
      <c r="G2706">
        <v>4.75</v>
      </c>
      <c r="H2706">
        <v>109</v>
      </c>
      <c r="I2706">
        <v>0</v>
      </c>
      <c r="J2706" t="s">
        <v>10772</v>
      </c>
      <c r="K2706">
        <v>15160</v>
      </c>
      <c r="L2706">
        <v>8820</v>
      </c>
      <c r="M2706">
        <v>-41.82</v>
      </c>
      <c r="N2706">
        <v>27.09</v>
      </c>
      <c r="O2706">
        <v>-22.84</v>
      </c>
      <c r="P2706">
        <v>-26.18</v>
      </c>
      <c r="Q2706">
        <v>1.95</v>
      </c>
      <c r="R2706">
        <v>-37.89</v>
      </c>
      <c r="S2706">
        <v>4.55</v>
      </c>
      <c r="T2706">
        <v>6.49</v>
      </c>
      <c r="U2706">
        <v>2.46</v>
      </c>
      <c r="V2706">
        <v>7.46</v>
      </c>
      <c r="W2706">
        <v>6.52</v>
      </c>
      <c r="X2706">
        <v>7.33</v>
      </c>
      <c r="Z2706">
        <v>4.17</v>
      </c>
      <c r="AA2706">
        <v>9.2799999999999994</v>
      </c>
      <c r="AB2706">
        <v>3.51</v>
      </c>
      <c r="AC2706">
        <v>0.3</v>
      </c>
      <c r="AD2706">
        <v>5.17</v>
      </c>
      <c r="AG2706" t="str">
        <f>HYPERLINK("https://finance.naver.com/item/fchart.naver?code=160190", "하이젠알앤엠 차트보기")</f>
        <v>하이젠알앤엠 차트보기</v>
      </c>
    </row>
    <row r="2707" spans="1:33" x14ac:dyDescent="0.3">
      <c r="A2707" t="s">
        <v>10773</v>
      </c>
      <c r="B2707" t="s">
        <v>55</v>
      </c>
      <c r="C2707" t="s">
        <v>10774</v>
      </c>
      <c r="D2707">
        <v>0</v>
      </c>
      <c r="E2707" t="s">
        <v>10293</v>
      </c>
      <c r="F2707">
        <v>0</v>
      </c>
      <c r="G2707">
        <v>23.590000152587891</v>
      </c>
      <c r="H2707">
        <v>0</v>
      </c>
      <c r="I2707">
        <v>0</v>
      </c>
      <c r="J2707" t="s">
        <v>10775</v>
      </c>
      <c r="K2707">
        <v>967</v>
      </c>
      <c r="L2707">
        <v>967</v>
      </c>
      <c r="M2707">
        <v>0</v>
      </c>
      <c r="N2707">
        <v>0</v>
      </c>
      <c r="O2707">
        <v>0</v>
      </c>
      <c r="P2707">
        <v>0</v>
      </c>
      <c r="Q2707">
        <v>0</v>
      </c>
      <c r="R2707">
        <v>0</v>
      </c>
      <c r="S2707">
        <v>0</v>
      </c>
      <c r="T2707">
        <v>0</v>
      </c>
      <c r="U2707">
        <v>0</v>
      </c>
      <c r="V2707">
        <v>0</v>
      </c>
      <c r="W2707">
        <v>0</v>
      </c>
      <c r="X2707">
        <v>0</v>
      </c>
      <c r="Y2707">
        <v>0</v>
      </c>
      <c r="AG2707" t="str">
        <f>HYPERLINK("https://finance.naver.com/item/fchart.naver?code=219750", "한국비티비 차트보기")</f>
        <v>한국비티비 차트보기</v>
      </c>
    </row>
    <row r="2708" spans="1:33" x14ac:dyDescent="0.3">
      <c r="A2708" t="s">
        <v>10776</v>
      </c>
      <c r="B2708" t="s">
        <v>55</v>
      </c>
      <c r="C2708" t="s">
        <v>10777</v>
      </c>
      <c r="D2708">
        <v>0</v>
      </c>
      <c r="E2708" t="s">
        <v>10293</v>
      </c>
      <c r="F2708">
        <v>0</v>
      </c>
      <c r="G2708">
        <v>0.64999997615814209</v>
      </c>
      <c r="H2708">
        <v>0</v>
      </c>
      <c r="I2708">
        <v>0</v>
      </c>
      <c r="J2708" t="s">
        <v>10778</v>
      </c>
      <c r="K2708">
        <v>6260</v>
      </c>
      <c r="L2708">
        <v>2725</v>
      </c>
      <c r="M2708">
        <v>-56.47</v>
      </c>
      <c r="N2708">
        <v>0</v>
      </c>
      <c r="O2708">
        <v>-6.68</v>
      </c>
      <c r="P2708">
        <v>-51.76</v>
      </c>
      <c r="Q2708">
        <v>6.21</v>
      </c>
      <c r="R2708">
        <v>-8.7100000000000009</v>
      </c>
      <c r="S2708">
        <v>-1.08</v>
      </c>
      <c r="T2708">
        <v>0</v>
      </c>
      <c r="U2708">
        <v>3.05</v>
      </c>
      <c r="V2708">
        <v>8.39</v>
      </c>
      <c r="W2708">
        <v>4.96</v>
      </c>
      <c r="X2708">
        <v>5.36</v>
      </c>
      <c r="Y2708">
        <v>1.1399999999999999</v>
      </c>
      <c r="AA2708">
        <v>2.19</v>
      </c>
      <c r="AB2708">
        <v>6.17</v>
      </c>
      <c r="AC2708">
        <v>1.25</v>
      </c>
      <c r="AD2708">
        <v>1.62</v>
      </c>
      <c r="AE2708">
        <v>0.95</v>
      </c>
      <c r="AG2708" t="str">
        <f>HYPERLINK("https://finance.naver.com/item/fchart.naver?code=080720", "한국유니온제약 차트보기")</f>
        <v>한국유니온제약 차트보기</v>
      </c>
    </row>
    <row r="2709" spans="1:33" x14ac:dyDescent="0.3">
      <c r="A2709" t="s">
        <v>10779</v>
      </c>
      <c r="B2709" t="s">
        <v>55</v>
      </c>
      <c r="C2709" t="s">
        <v>10780</v>
      </c>
      <c r="D2709">
        <v>0</v>
      </c>
      <c r="E2709" t="s">
        <v>10293</v>
      </c>
      <c r="F2709">
        <v>0</v>
      </c>
      <c r="G2709">
        <v>0</v>
      </c>
      <c r="H2709">
        <v>0</v>
      </c>
      <c r="I2709">
        <v>0</v>
      </c>
      <c r="J2709" t="s">
        <v>10781</v>
      </c>
      <c r="K2709">
        <v>2055</v>
      </c>
      <c r="L2709">
        <v>2275</v>
      </c>
      <c r="M2709">
        <v>10.71</v>
      </c>
      <c r="N2709">
        <v>0</v>
      </c>
      <c r="O2709">
        <v>0</v>
      </c>
      <c r="P2709">
        <v>6.56</v>
      </c>
      <c r="Q2709">
        <v>-0.7</v>
      </c>
      <c r="R2709">
        <v>2.64</v>
      </c>
      <c r="S2709">
        <v>1.22</v>
      </c>
      <c r="T2709">
        <v>0</v>
      </c>
      <c r="U2709">
        <v>0</v>
      </c>
      <c r="V2709">
        <v>1.33</v>
      </c>
      <c r="W2709">
        <v>0.71</v>
      </c>
      <c r="X2709">
        <v>0.43</v>
      </c>
      <c r="Y2709">
        <v>0.33</v>
      </c>
      <c r="AB2709">
        <v>4.93</v>
      </c>
      <c r="AC2709">
        <v>0.99</v>
      </c>
      <c r="AD2709">
        <v>6.14</v>
      </c>
      <c r="AE2709">
        <v>3.7</v>
      </c>
      <c r="AG2709" t="str">
        <f>HYPERLINK("https://finance.naver.com/item/fchart.naver?code=477530", "한국제14호스팩 차트보기")</f>
        <v>한국제14호스팩 차트보기</v>
      </c>
    </row>
    <row r="2710" spans="1:33" x14ac:dyDescent="0.3">
      <c r="A2710" t="s">
        <v>10782</v>
      </c>
      <c r="B2710" t="s">
        <v>55</v>
      </c>
      <c r="C2710" t="s">
        <v>10783</v>
      </c>
      <c r="D2710">
        <v>0</v>
      </c>
      <c r="E2710" t="s">
        <v>10293</v>
      </c>
      <c r="F2710">
        <v>0</v>
      </c>
      <c r="G2710">
        <v>4.8299999237060547</v>
      </c>
      <c r="H2710">
        <v>0</v>
      </c>
      <c r="I2710">
        <v>0</v>
      </c>
      <c r="J2710" t="s">
        <v>10784</v>
      </c>
      <c r="K2710">
        <v>1530</v>
      </c>
      <c r="L2710">
        <v>1530</v>
      </c>
      <c r="M2710">
        <v>0</v>
      </c>
      <c r="N2710">
        <v>0</v>
      </c>
      <c r="O2710">
        <v>0</v>
      </c>
      <c r="P2710">
        <v>0</v>
      </c>
      <c r="Q2710">
        <v>0</v>
      </c>
      <c r="R2710">
        <v>0</v>
      </c>
      <c r="S2710">
        <v>0</v>
      </c>
      <c r="T2710">
        <v>0</v>
      </c>
      <c r="U2710">
        <v>0</v>
      </c>
      <c r="V2710">
        <v>0</v>
      </c>
      <c r="W2710">
        <v>0</v>
      </c>
      <c r="X2710">
        <v>0</v>
      </c>
      <c r="Y2710">
        <v>0</v>
      </c>
      <c r="AG2710" t="str">
        <f>HYPERLINK("https://finance.naver.com/item/fchart.naver?code=226440", "한송네오텍 차트보기")</f>
        <v>한송네오텍 차트보기</v>
      </c>
    </row>
    <row r="2711" spans="1:33" x14ac:dyDescent="0.3">
      <c r="A2711" t="s">
        <v>10785</v>
      </c>
      <c r="B2711" t="s">
        <v>55</v>
      </c>
      <c r="C2711" t="s">
        <v>10786</v>
      </c>
      <c r="D2711">
        <v>60962.1</v>
      </c>
      <c r="E2711" t="s">
        <v>10787</v>
      </c>
      <c r="F2711">
        <v>0</v>
      </c>
      <c r="G2711">
        <v>0</v>
      </c>
      <c r="H2711">
        <v>0</v>
      </c>
      <c r="I2711">
        <v>0</v>
      </c>
      <c r="J2711" t="s">
        <v>10788</v>
      </c>
      <c r="K2711">
        <v>2215</v>
      </c>
      <c r="L2711">
        <v>2050</v>
      </c>
      <c r="M2711">
        <v>-7.45</v>
      </c>
      <c r="N2711">
        <v>-4.6500000000000004</v>
      </c>
      <c r="O2711">
        <v>-0.46</v>
      </c>
      <c r="P2711">
        <v>-1.63</v>
      </c>
      <c r="Q2711">
        <v>-2.71</v>
      </c>
      <c r="R2711">
        <v>0</v>
      </c>
      <c r="S2711">
        <v>0</v>
      </c>
      <c r="T2711">
        <v>1.36</v>
      </c>
      <c r="U2711">
        <v>0.89</v>
      </c>
      <c r="V2711">
        <v>0.66</v>
      </c>
      <c r="W2711">
        <v>1.38</v>
      </c>
      <c r="X2711">
        <v>0</v>
      </c>
      <c r="Y2711">
        <v>0</v>
      </c>
      <c r="Z2711">
        <v>3.42</v>
      </c>
      <c r="AA2711">
        <v>0.52</v>
      </c>
      <c r="AB2711">
        <v>2.4700000000000002</v>
      </c>
      <c r="AC2711">
        <v>1.96</v>
      </c>
      <c r="AG2711" t="str">
        <f>HYPERLINK("https://finance.naver.com/item/fchart.naver?code=430460", "한화플러스제3호스팩 차트보기")</f>
        <v>한화플러스제3호스팩 차트보기</v>
      </c>
    </row>
    <row r="2712" spans="1:33" x14ac:dyDescent="0.3">
      <c r="A2712" t="s">
        <v>10789</v>
      </c>
      <c r="B2712" t="s">
        <v>55</v>
      </c>
      <c r="C2712" t="s">
        <v>10790</v>
      </c>
      <c r="D2712">
        <v>0</v>
      </c>
      <c r="E2712" t="s">
        <v>10293</v>
      </c>
      <c r="F2712">
        <v>0</v>
      </c>
      <c r="G2712">
        <v>0</v>
      </c>
      <c r="H2712">
        <v>0</v>
      </c>
      <c r="I2712">
        <v>0</v>
      </c>
      <c r="J2712" t="s">
        <v>10791</v>
      </c>
      <c r="K2712">
        <v>994</v>
      </c>
      <c r="L2712">
        <v>994</v>
      </c>
      <c r="M2712">
        <v>0</v>
      </c>
      <c r="N2712">
        <v>0</v>
      </c>
      <c r="O2712">
        <v>0</v>
      </c>
      <c r="P2712">
        <v>0</v>
      </c>
      <c r="Q2712">
        <v>0</v>
      </c>
      <c r="R2712">
        <v>0</v>
      </c>
      <c r="S2712">
        <v>0</v>
      </c>
      <c r="T2712">
        <v>0</v>
      </c>
      <c r="U2712">
        <v>0</v>
      </c>
      <c r="V2712">
        <v>0</v>
      </c>
      <c r="W2712">
        <v>0</v>
      </c>
      <c r="X2712">
        <v>0</v>
      </c>
      <c r="Y2712">
        <v>0</v>
      </c>
      <c r="AG2712" t="str">
        <f>HYPERLINK("https://finance.naver.com/item/fchart.naver?code=016790", "현대사료 차트보기")</f>
        <v>현대사료 차트보기</v>
      </c>
    </row>
    <row r="2713" spans="1:33" x14ac:dyDescent="0.3">
      <c r="A2713" t="s">
        <v>10792</v>
      </c>
      <c r="B2713" t="s">
        <v>55</v>
      </c>
      <c r="C2713" t="s">
        <v>10793</v>
      </c>
      <c r="D2713">
        <v>0</v>
      </c>
      <c r="E2713" t="s">
        <v>10293</v>
      </c>
      <c r="F2713">
        <v>0</v>
      </c>
      <c r="G2713">
        <v>5.570000171661377</v>
      </c>
      <c r="H2713">
        <v>0</v>
      </c>
      <c r="I2713">
        <v>0</v>
      </c>
      <c r="J2713" t="s">
        <v>10794</v>
      </c>
      <c r="K2713">
        <v>1505</v>
      </c>
      <c r="L2713">
        <v>1505</v>
      </c>
      <c r="M2713">
        <v>0</v>
      </c>
      <c r="N2713">
        <v>0</v>
      </c>
      <c r="O2713">
        <v>0</v>
      </c>
      <c r="P2713">
        <v>0</v>
      </c>
      <c r="Q2713">
        <v>0</v>
      </c>
      <c r="R2713">
        <v>0</v>
      </c>
      <c r="S2713">
        <v>0</v>
      </c>
      <c r="T2713">
        <v>0</v>
      </c>
      <c r="U2713">
        <v>0</v>
      </c>
      <c r="V2713">
        <v>0</v>
      </c>
      <c r="W2713">
        <v>0</v>
      </c>
      <c r="X2713">
        <v>0</v>
      </c>
      <c r="Y2713">
        <v>0</v>
      </c>
      <c r="AG2713" t="str">
        <f>HYPERLINK("https://finance.naver.com/item/fchart.naver?code=215090", "휴센텍 차트보기")</f>
        <v>휴센텍 차트보기</v>
      </c>
    </row>
  </sheetData>
  <phoneticPr fontId="2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2024-11-11T14:00:44Z</dcterms:created>
  <dcterms:modified xsi:type="dcterms:W3CDTF">2024-11-11T14:11:06Z</dcterms:modified>
</cp:coreProperties>
</file>