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nel Wu\Box Sync\Knitting\SWknittingdesigns\colorworkSweater\"/>
    </mc:Choice>
  </mc:AlternateContent>
  <xr:revisionPtr revIDLastSave="0" documentId="13_ncr:1_{50047EEF-9C53-4CDF-BE6B-EB39B3521B3B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imensions (cm)" sheetId="3" r:id="rId1"/>
    <sheet name="dimensions (in)" sheetId="1" r:id="rId2"/>
    <sheet name="instructions" sheetId="4" r:id="rId3"/>
    <sheet name="yardages" sheetId="2" r:id="rId4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B23" i="4" l="1"/>
  <c r="C23" i="4"/>
  <c r="E23" i="4"/>
  <c r="F25" i="4"/>
  <c r="F23" i="4"/>
  <c r="N25" i="4"/>
  <c r="N19" i="4" s="1"/>
  <c r="Q24" i="4" l="1"/>
  <c r="P24" i="4"/>
  <c r="O24" i="4"/>
  <c r="N24" i="4"/>
  <c r="M24" i="4"/>
  <c r="L24" i="4"/>
  <c r="K24" i="4"/>
  <c r="J24" i="4"/>
  <c r="I24" i="4"/>
  <c r="H24" i="4"/>
  <c r="E24" i="4"/>
  <c r="D24" i="4"/>
  <c r="C24" i="4"/>
  <c r="B24" i="4"/>
  <c r="Q22" i="4"/>
  <c r="P22" i="4"/>
  <c r="O22" i="4"/>
  <c r="M22" i="4"/>
  <c r="L22" i="4"/>
  <c r="K22" i="4"/>
  <c r="J22" i="4"/>
  <c r="I22" i="4"/>
  <c r="H22" i="4"/>
  <c r="D22" i="4"/>
  <c r="G22" i="4"/>
  <c r="Q18" i="4"/>
  <c r="P18" i="4"/>
  <c r="O18" i="4"/>
  <c r="D18" i="4"/>
  <c r="C18" i="4"/>
  <c r="C15" i="4"/>
  <c r="F15" i="4"/>
  <c r="O15" i="4"/>
  <c r="N15" i="4"/>
  <c r="Q25" i="4"/>
  <c r="D14" i="4"/>
  <c r="B25" i="4"/>
  <c r="B19" i="4"/>
  <c r="C25" i="4"/>
  <c r="D25" i="4"/>
  <c r="E25" i="4"/>
  <c r="F19" i="4"/>
  <c r="F24" i="4" s="1"/>
  <c r="C19" i="4"/>
  <c r="O25" i="4"/>
  <c r="P25" i="4"/>
  <c r="B20" i="4"/>
  <c r="B22" i="4" s="1"/>
  <c r="Q19" i="4"/>
  <c r="P19" i="4"/>
  <c r="O19" i="4"/>
  <c r="O16" i="4" s="1"/>
  <c r="O13" i="4" s="1"/>
  <c r="O14" i="4" s="1"/>
  <c r="E19" i="4"/>
  <c r="D19" i="4"/>
  <c r="D16" i="4" s="1"/>
  <c r="D13" i="4" s="1"/>
  <c r="G19" i="4"/>
  <c r="I25" i="4"/>
  <c r="H25" i="4"/>
  <c r="G25" i="4"/>
  <c r="L25" i="4"/>
  <c r="K25" i="4"/>
  <c r="J25" i="4"/>
  <c r="Q20" i="4"/>
  <c r="P20" i="4"/>
  <c r="O20" i="4"/>
  <c r="N20" i="4"/>
  <c r="N16" i="4" s="1"/>
  <c r="F20" i="4"/>
  <c r="F22" i="4" s="1"/>
  <c r="E20" i="4"/>
  <c r="E18" i="4" s="1"/>
  <c r="D20" i="4"/>
  <c r="C20" i="4"/>
  <c r="C22" i="4" s="1"/>
  <c r="G20" i="4"/>
  <c r="F6" i="4"/>
  <c r="E6" i="4"/>
  <c r="D6" i="4"/>
  <c r="C6" i="4"/>
  <c r="B6" i="4"/>
  <c r="Q6" i="4"/>
  <c r="P6" i="4"/>
  <c r="O6" i="4"/>
  <c r="N6" i="4"/>
  <c r="F7" i="4"/>
  <c r="E7" i="4"/>
  <c r="D7" i="4"/>
  <c r="C7" i="4"/>
  <c r="B7" i="4"/>
  <c r="Q7" i="4"/>
  <c r="P7" i="4"/>
  <c r="O7" i="4"/>
  <c r="N7" i="4"/>
  <c r="M7" i="4"/>
  <c r="L7" i="4"/>
  <c r="K7" i="4"/>
  <c r="J7" i="4"/>
  <c r="I7" i="4"/>
  <c r="H7" i="4"/>
  <c r="G7" i="4"/>
  <c r="F11" i="4"/>
  <c r="E11" i="4"/>
  <c r="D11" i="4"/>
  <c r="C11" i="4"/>
  <c r="B11" i="4"/>
  <c r="Q11" i="4"/>
  <c r="P11" i="4"/>
  <c r="O11" i="4"/>
  <c r="N11" i="4"/>
  <c r="J11" i="4"/>
  <c r="I11" i="4"/>
  <c r="H11" i="4"/>
  <c r="G11" i="4"/>
  <c r="L11" i="4"/>
  <c r="K11" i="4"/>
  <c r="M11" i="4"/>
  <c r="B17" i="4"/>
  <c r="C17" i="4"/>
  <c r="G17" i="4"/>
  <c r="H17" i="4"/>
  <c r="I17" i="4"/>
  <c r="J17" i="4"/>
  <c r="K17" i="4"/>
  <c r="L17" i="4"/>
  <c r="M17" i="4"/>
  <c r="N17" i="4"/>
  <c r="O17" i="4"/>
  <c r="P17" i="4"/>
  <c r="Q17" i="4"/>
  <c r="M12" i="4"/>
  <c r="L12" i="4"/>
  <c r="K12" i="4"/>
  <c r="J12" i="4"/>
  <c r="I12" i="4"/>
  <c r="H12" i="4"/>
  <c r="G12" i="4"/>
  <c r="Q5" i="3"/>
  <c r="P5" i="3"/>
  <c r="O5" i="3"/>
  <c r="N5" i="3"/>
  <c r="H5" i="3"/>
  <c r="F5" i="3"/>
  <c r="E5" i="3"/>
  <c r="D5" i="3"/>
  <c r="C5" i="3"/>
  <c r="B5" i="3"/>
  <c r="Q4" i="3"/>
  <c r="P4" i="3"/>
  <c r="O4" i="3"/>
  <c r="N4" i="3"/>
  <c r="H4" i="3"/>
  <c r="F4" i="3"/>
  <c r="E4" i="3"/>
  <c r="D4" i="3"/>
  <c r="C4" i="3"/>
  <c r="B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Q2" i="3"/>
  <c r="P2" i="3"/>
  <c r="O2" i="3"/>
  <c r="N2" i="3"/>
  <c r="H2" i="3"/>
  <c r="F2" i="3"/>
  <c r="E2" i="3"/>
  <c r="D2" i="3"/>
  <c r="C2" i="3"/>
  <c r="B2" i="3"/>
  <c r="B7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Q23" i="3"/>
  <c r="P23" i="3"/>
  <c r="O23" i="3"/>
  <c r="N23" i="3"/>
  <c r="F23" i="3"/>
  <c r="E23" i="3"/>
  <c r="D23" i="3"/>
  <c r="C23" i="3"/>
  <c r="B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B18" i="3"/>
  <c r="C18" i="3"/>
  <c r="D18" i="3"/>
  <c r="E18" i="3"/>
  <c r="F18" i="3"/>
  <c r="H18" i="3"/>
  <c r="N18" i="3"/>
  <c r="O18" i="3"/>
  <c r="P18" i="3"/>
  <c r="Q1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18" i="4" l="1"/>
  <c r="B16" i="4"/>
  <c r="B13" i="4" s="1"/>
  <c r="B14" i="4" s="1"/>
  <c r="E22" i="4"/>
  <c r="E16" i="4"/>
  <c r="E13" i="4" s="1"/>
  <c r="E14" i="4" s="1"/>
  <c r="F18" i="4"/>
  <c r="F16" i="4"/>
  <c r="F13" i="4" s="1"/>
  <c r="F14" i="4" s="1"/>
  <c r="N18" i="4"/>
  <c r="N22" i="4"/>
  <c r="N13" i="4"/>
  <c r="N14" i="4" s="1"/>
  <c r="P16" i="4"/>
  <c r="P13" i="4" s="1"/>
  <c r="P14" i="4" s="1"/>
  <c r="Q16" i="4"/>
  <c r="Q13" i="4" s="1"/>
  <c r="Q14" i="4" s="1"/>
  <c r="C16" i="4"/>
  <c r="C13" i="4" s="1"/>
  <c r="C14" i="4" s="1"/>
  <c r="F24" i="1"/>
  <c r="B24" i="1"/>
  <c r="B12" i="4"/>
  <c r="C12" i="4"/>
  <c r="D12" i="4"/>
  <c r="E12" i="4"/>
  <c r="F17" i="4"/>
  <c r="E17" i="4"/>
  <c r="D17" i="4"/>
  <c r="N18" i="1"/>
  <c r="N17" i="1"/>
  <c r="G17" i="1"/>
  <c r="B17" i="1"/>
  <c r="C17" i="1"/>
  <c r="D17" i="1"/>
  <c r="E17" i="1"/>
  <c r="F17" i="1"/>
  <c r="F18" i="1"/>
  <c r="J18" i="1"/>
  <c r="J18" i="3" s="1"/>
  <c r="B18" i="1"/>
  <c r="C18" i="1"/>
  <c r="D18" i="1"/>
  <c r="E18" i="1"/>
  <c r="F16" i="1"/>
  <c r="Q12" i="4" l="1"/>
  <c r="P12" i="4"/>
  <c r="O12" i="4"/>
  <c r="N12" i="4"/>
  <c r="F12" i="4"/>
  <c r="F3" i="4"/>
  <c r="F4" i="4" s="1"/>
  <c r="E3" i="4"/>
  <c r="E4" i="4" s="1"/>
  <c r="D3" i="4"/>
  <c r="D4" i="4" s="1"/>
  <c r="C3" i="4"/>
  <c r="C4" i="4" s="1"/>
  <c r="B3" i="4"/>
  <c r="B4" i="4" s="1"/>
  <c r="Q3" i="4"/>
  <c r="Q4" i="4" s="1"/>
  <c r="P3" i="4"/>
  <c r="P4" i="4" s="1"/>
  <c r="O3" i="4"/>
  <c r="O4" i="4" s="1"/>
  <c r="N3" i="4"/>
  <c r="N4" i="4" s="1"/>
  <c r="M3" i="4"/>
  <c r="Q23" i="4"/>
  <c r="P23" i="4"/>
  <c r="O23" i="4"/>
  <c r="N23" i="4"/>
  <c r="D23" i="4"/>
  <c r="G23" i="4"/>
  <c r="B25" i="1"/>
  <c r="C25" i="1"/>
  <c r="D25" i="1"/>
  <c r="E25" i="1"/>
  <c r="F25" i="1"/>
  <c r="G25" i="1"/>
  <c r="M25" i="1"/>
  <c r="M18" i="1"/>
  <c r="M18" i="3" s="1"/>
  <c r="Q18" i="1"/>
  <c r="P18" i="1"/>
  <c r="O18" i="1"/>
  <c r="Q24" i="1"/>
  <c r="P24" i="1"/>
  <c r="O24" i="1"/>
  <c r="N24" i="1"/>
  <c r="C24" i="1"/>
  <c r="D24" i="1"/>
  <c r="E24" i="1"/>
  <c r="G16" i="4" l="1"/>
  <c r="B12" i="1"/>
  <c r="C12" i="1"/>
  <c r="D12" i="1"/>
  <c r="E12" i="1"/>
  <c r="F12" i="1"/>
  <c r="B15" i="1"/>
  <c r="C15" i="1"/>
  <c r="D15" i="1"/>
  <c r="E15" i="1"/>
  <c r="F15" i="1"/>
  <c r="Q17" i="1"/>
  <c r="P17" i="1"/>
  <c r="O17" i="1"/>
  <c r="Q13" i="1"/>
  <c r="P13" i="1"/>
  <c r="O13" i="1"/>
  <c r="Q15" i="1"/>
  <c r="P15" i="1"/>
  <c r="O15" i="1"/>
  <c r="K17" i="1"/>
  <c r="Q16" i="1"/>
  <c r="P16" i="1"/>
  <c r="O16" i="1"/>
  <c r="N16" i="1"/>
  <c r="M16" i="1"/>
  <c r="Q12" i="1"/>
  <c r="P12" i="1"/>
  <c r="O12" i="1"/>
  <c r="Q11" i="1"/>
  <c r="P11" i="1"/>
  <c r="O11" i="1"/>
  <c r="Q10" i="1"/>
  <c r="P10" i="1"/>
  <c r="O10" i="1"/>
  <c r="E16" i="1" l="1"/>
  <c r="D16" i="1"/>
  <c r="C16" i="1"/>
  <c r="B16" i="1"/>
  <c r="M17" i="1"/>
  <c r="L17" i="1"/>
  <c r="J17" i="1"/>
  <c r="I17" i="1"/>
  <c r="H17" i="1"/>
  <c r="H31" i="4" l="1"/>
  <c r="M29" i="4"/>
  <c r="M31" i="4" s="1"/>
  <c r="L29" i="4"/>
  <c r="L31" i="4" s="1"/>
  <c r="K29" i="4"/>
  <c r="K31" i="4" s="1"/>
  <c r="J29" i="4"/>
  <c r="J31" i="4" s="1"/>
  <c r="I29" i="4"/>
  <c r="I31" i="4" s="1"/>
  <c r="G29" i="4"/>
  <c r="G31" i="4" s="1"/>
  <c r="M27" i="4"/>
  <c r="L27" i="4"/>
  <c r="K27" i="4"/>
  <c r="J27" i="4"/>
  <c r="I27" i="4"/>
  <c r="G27" i="4"/>
  <c r="M25" i="4"/>
  <c r="H26" i="4"/>
  <c r="M23" i="4"/>
  <c r="L23" i="4"/>
  <c r="K23" i="4"/>
  <c r="J23" i="4"/>
  <c r="I23" i="4"/>
  <c r="H23" i="4"/>
  <c r="G24" i="4"/>
  <c r="G26" i="4" s="1"/>
  <c r="M18" i="4"/>
  <c r="L18" i="4"/>
  <c r="K18" i="4"/>
  <c r="J18" i="4"/>
  <c r="I18" i="4"/>
  <c r="H18" i="4"/>
  <c r="M13" i="4"/>
  <c r="M15" i="4" s="1"/>
  <c r="L13" i="4"/>
  <c r="K13" i="4"/>
  <c r="J13" i="4"/>
  <c r="J14" i="4" s="1"/>
  <c r="I13" i="4"/>
  <c r="I15" i="4" s="1"/>
  <c r="H13" i="4"/>
  <c r="H15" i="4" s="1"/>
  <c r="H4" i="4"/>
  <c r="M4" i="4"/>
  <c r="L3" i="4"/>
  <c r="L4" i="4" s="1"/>
  <c r="K3" i="4"/>
  <c r="K4" i="4" s="1"/>
  <c r="J3" i="4"/>
  <c r="J4" i="4" s="1"/>
  <c r="I3" i="4"/>
  <c r="I4" i="4" s="1"/>
  <c r="G3" i="4"/>
  <c r="G4" i="4" s="1"/>
  <c r="I26" i="4" l="1"/>
  <c r="J26" i="4"/>
  <c r="L26" i="4"/>
  <c r="K26" i="4"/>
  <c r="G30" i="4"/>
  <c r="M26" i="4"/>
  <c r="G13" i="4"/>
  <c r="G14" i="4" s="1"/>
  <c r="I6" i="4"/>
  <c r="M6" i="4"/>
  <c r="K6" i="4"/>
  <c r="G6" i="4"/>
  <c r="L6" i="4"/>
  <c r="L15" i="4"/>
  <c r="L14" i="4"/>
  <c r="K14" i="4"/>
  <c r="K15" i="4"/>
  <c r="I14" i="4"/>
  <c r="M14" i="4"/>
  <c r="G18" i="4"/>
  <c r="J6" i="4"/>
  <c r="J15" i="4"/>
  <c r="L16" i="1"/>
  <c r="K16" i="1"/>
  <c r="J16" i="1"/>
  <c r="I16" i="1"/>
  <c r="H16" i="1"/>
  <c r="G16" i="1"/>
  <c r="M29" i="1" l="1"/>
  <c r="L29" i="1"/>
  <c r="K29" i="1"/>
  <c r="J29" i="1"/>
  <c r="I29" i="1"/>
  <c r="H29" i="1"/>
  <c r="G29" i="1"/>
  <c r="I25" i="1" l="1"/>
  <c r="H23" i="1"/>
  <c r="H23" i="3" s="1"/>
  <c r="L25" i="1" l="1"/>
  <c r="K25" i="1"/>
  <c r="J25" i="1"/>
  <c r="M5" i="1"/>
  <c r="M5" i="3" s="1"/>
  <c r="L5" i="1"/>
  <c r="L5" i="3" s="1"/>
  <c r="K5" i="1"/>
  <c r="K5" i="3" s="1"/>
  <c r="J5" i="1"/>
  <c r="J5" i="3" s="1"/>
  <c r="I5" i="1"/>
  <c r="I5" i="3" s="1"/>
  <c r="G5" i="1"/>
  <c r="G5" i="3" s="1"/>
  <c r="G4" i="1"/>
  <c r="G4" i="3" s="1"/>
  <c r="M4" i="1"/>
  <c r="M4" i="3" s="1"/>
  <c r="L4" i="1"/>
  <c r="L4" i="3" s="1"/>
  <c r="K4" i="1"/>
  <c r="K4" i="3" s="1"/>
  <c r="J4" i="1"/>
  <c r="J4" i="3" s="1"/>
  <c r="I4" i="1"/>
  <c r="I4" i="3" s="1"/>
  <c r="G3" i="1"/>
  <c r="M3" i="1"/>
  <c r="L3" i="1"/>
  <c r="K3" i="1"/>
  <c r="I3" i="1"/>
  <c r="J3" i="1"/>
  <c r="H2" i="1"/>
  <c r="G2" i="1" l="1"/>
  <c r="G2" i="3" s="1"/>
  <c r="M2" i="1"/>
  <c r="M2" i="3" s="1"/>
  <c r="L2" i="1"/>
  <c r="L2" i="3" s="1"/>
  <c r="K2" i="1"/>
  <c r="K2" i="3" s="1"/>
  <c r="J2" i="1"/>
  <c r="J2" i="3" s="1"/>
  <c r="I2" i="1"/>
  <c r="I2" i="3" s="1"/>
  <c r="M23" i="1" l="1"/>
  <c r="M23" i="3" s="1"/>
  <c r="I23" i="1"/>
  <c r="I23" i="3" s="1"/>
  <c r="L23" i="1" l="1"/>
  <c r="L23" i="3" s="1"/>
  <c r="J23" i="1"/>
  <c r="J23" i="3" s="1"/>
  <c r="K23" i="1"/>
  <c r="K23" i="3" s="1"/>
  <c r="G23" i="1" l="1"/>
  <c r="G23" i="3" s="1"/>
  <c r="G18" i="1" l="1"/>
  <c r="G18" i="3" s="1"/>
  <c r="L18" i="1"/>
  <c r="L18" i="3" s="1"/>
  <c r="K18" i="1"/>
  <c r="K18" i="3" s="1"/>
  <c r="I18" i="1"/>
  <c r="I1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tc={F4BF1FBB-1470-4DDC-89D9-62CF15828626}</author>
  </authors>
  <commentList>
    <comment ref="A15" authorId="0" shapeId="0" xr:uid="{F4BF1FBB-1470-4DDC-89D9-62CF1582862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Ysolda's chart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tc={02316F12-2E6E-444F-A0F8-649AF22E34D4}</author>
  </authors>
  <commentList>
    <comment ref="A15" authorId="0" shapeId="0" xr:uid="{02316F12-2E6E-444F-A0F8-649AF22E34D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Ysolda's chart</t>
      </text>
    </comment>
  </commentList>
</comments>
</file>

<file path=xl/sharedStrings.xml><?xml version="1.0" encoding="utf-8"?>
<sst xmlns="http://schemas.openxmlformats.org/spreadsheetml/2006/main" count="143" uniqueCount="102">
  <si>
    <t>Size</t>
  </si>
  <si>
    <t>Numbers</t>
  </si>
  <si>
    <t>Yoke final sts</t>
  </si>
  <si>
    <t>Body half sts</t>
  </si>
  <si>
    <t>Body sts</t>
  </si>
  <si>
    <t>Sleeve decreases</t>
  </si>
  <si>
    <t>Sleeve colorwork repeats</t>
  </si>
  <si>
    <t>CO underarm sts</t>
  </si>
  <si>
    <t>Held sleeve sts</t>
  </si>
  <si>
    <t>Beg sleeve sts</t>
  </si>
  <si>
    <t>Main sleeve sts</t>
  </si>
  <si>
    <t>CO sts</t>
  </si>
  <si>
    <t>Cuff sts</t>
  </si>
  <si>
    <t>Yoke initial sts</t>
  </si>
  <si>
    <t>Add'l increases</t>
  </si>
  <si>
    <t>Sleeve after colorwork</t>
  </si>
  <si>
    <t>Yoke colorwork repeats</t>
  </si>
  <si>
    <t>Set up increases</t>
  </si>
  <si>
    <t>Yoke/armhole depth</t>
  </si>
  <si>
    <t>Chest/bust (+2-4in ease)</t>
  </si>
  <si>
    <t>Upper arm (+1-3in ease)</t>
  </si>
  <si>
    <t>Body length (underarm to hem)</t>
  </si>
  <si>
    <t>Cuff (-1-0in ease)</t>
  </si>
  <si>
    <t>Cuff decreases</t>
  </si>
  <si>
    <t>Thumb hole sts</t>
  </si>
  <si>
    <t>Total Yardage</t>
  </si>
  <si>
    <t>MC yardage</t>
  </si>
  <si>
    <t>CC1 yardage</t>
  </si>
  <si>
    <t>CC2 yardage</t>
  </si>
  <si>
    <t>Num of short rows</t>
  </si>
  <si>
    <t>Short row set up sts</t>
  </si>
  <si>
    <t>Num of increase rounds</t>
  </si>
  <si>
    <t>Colorwork depth</t>
  </si>
  <si>
    <t>Final increase round</t>
  </si>
  <si>
    <t>1st cuff decrease</t>
  </si>
  <si>
    <t>Sleeve length before cuff</t>
  </si>
  <si>
    <t>Collar (circumference)</t>
  </si>
  <si>
    <t>Shoulders (full yoke)</t>
  </si>
  <si>
    <t>Cross shoulders (width)</t>
  </si>
  <si>
    <t>Armscye depth</t>
  </si>
  <si>
    <t>XS/32</t>
  </si>
  <si>
    <t>S/36</t>
  </si>
  <si>
    <t>M/40</t>
  </si>
  <si>
    <t>L/44</t>
  </si>
  <si>
    <t>XL/48</t>
  </si>
  <si>
    <t>2L/52</t>
  </si>
  <si>
    <t>3L/56</t>
  </si>
  <si>
    <t>Yoke radius</t>
  </si>
  <si>
    <t>Body Measurement (in)</t>
  </si>
  <si>
    <t>Garment Dimension (in)</t>
  </si>
  <si>
    <t>Neck base</t>
  </si>
  <si>
    <t>Yoke circumference</t>
  </si>
  <si>
    <t>Shoulder length</t>
  </si>
  <si>
    <t>Upper arm</t>
  </si>
  <si>
    <t>6-12mo</t>
  </si>
  <si>
    <t>0-6mo</t>
  </si>
  <si>
    <t>1-2yrs</t>
  </si>
  <si>
    <t>2-6yrs</t>
  </si>
  <si>
    <t>6-10yrs</t>
  </si>
  <si>
    <t>Head circumference</t>
  </si>
  <si>
    <t>Full yoke circumference (calc'd)</t>
  </si>
  <si>
    <t>Cuff ribbing length</t>
  </si>
  <si>
    <t>Sleeve total length</t>
  </si>
  <si>
    <t>6-12mo/20</t>
  </si>
  <si>
    <t>1-2yrs/22</t>
  </si>
  <si>
    <t>2-6yrs/24</t>
  </si>
  <si>
    <t>6-10yrs/28</t>
  </si>
  <si>
    <t>Arm length</t>
  </si>
  <si>
    <t>Total Meterage</t>
  </si>
  <si>
    <t>MC meterage</t>
  </si>
  <si>
    <t>CC1 meterage</t>
  </si>
  <si>
    <t>CC2 meterage</t>
  </si>
  <si>
    <t>Yoke after colorwork sts</t>
  </si>
  <si>
    <t>Yoke after colorwork TARGET</t>
  </si>
  <si>
    <t>Yoke sts CHECK</t>
  </si>
  <si>
    <t>Body sts CHECK</t>
  </si>
  <si>
    <t>Beg sleeve sts CHECK</t>
  </si>
  <si>
    <t>Yoke final sts TARGET</t>
  </si>
  <si>
    <t>Colorwork chart start width</t>
  </si>
  <si>
    <t>Colorwork chart end width</t>
  </si>
  <si>
    <t>4L/60</t>
  </si>
  <si>
    <t>5L/64</t>
  </si>
  <si>
    <t>6L/68</t>
  </si>
  <si>
    <t>7L/72</t>
  </si>
  <si>
    <t>A(XS)/32</t>
  </si>
  <si>
    <t>B(S)/36</t>
  </si>
  <si>
    <t>C(M)/40</t>
  </si>
  <si>
    <t>D(L)/44</t>
  </si>
  <si>
    <t>E(XL)/48</t>
  </si>
  <si>
    <t>F(2L)/52</t>
  </si>
  <si>
    <t>G(3L)/56</t>
  </si>
  <si>
    <t>H/60</t>
  </si>
  <si>
    <t>I/64</t>
  </si>
  <si>
    <t>J/68</t>
  </si>
  <si>
    <t>K/72</t>
  </si>
  <si>
    <t>XA/0-6mo</t>
  </si>
  <si>
    <t>XB/6-12mo</t>
  </si>
  <si>
    <t>XC/1-2yrs</t>
  </si>
  <si>
    <t>XD/2-6yrs</t>
  </si>
  <si>
    <t>XE/6-10yrs</t>
  </si>
  <si>
    <t>0-6mo/18</t>
  </si>
  <si>
    <t>Cuff (0-1in 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</si>
</sst>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3" borderId="3" xfId="0" applyFont="1" applyFill="1" applyBorder="1"/>
    <xf numFmtId="0" fontId="0" fillId="3" borderId="0" xfId="0" applyFill="1"/>
    <xf numFmtId="0" fontId="0" fillId="0" borderId="0" xfId="0" applyFill="1" applyBorder="1"/>
    <xf numFmtId="0" fontId="1" fillId="2" borderId="3" xfId="0" applyFont="1" applyFill="1" applyBorder="1"/>
    <xf numFmtId="0" fontId="0" fillId="2" borderId="0" xfId="0" applyFill="1" applyBorder="1"/>
    <xf numFmtId="0" fontId="1" fillId="4" borderId="4" xfId="0" applyFont="1" applyFill="1" applyBorder="1"/>
    <xf numFmtId="0" fontId="0" fillId="4" borderId="5" xfId="0" applyFill="1" applyBorder="1"/>
    <xf numFmtId="0" fontId="0" fillId="5" borderId="0" xfId="0" applyFill="1" applyBorder="1"/>
    <xf numFmtId="0" fontId="0" fillId="5" borderId="7" xfId="0" applyFill="1" applyBorder="1"/>
    <xf numFmtId="0" fontId="2" fillId="2" borderId="3" xfId="0" applyFont="1" applyFill="1" applyBorder="1"/>
    <xf numFmtId="0" fontId="0" fillId="2" borderId="0" xfId="0" applyFill="1"/>
    <xf numFmtId="0" fontId="1" fillId="0" borderId="1" xfId="0" applyFont="1" applyFill="1" applyBorder="1"/>
    <xf numFmtId="0" fontId="0" fillId="0" borderId="2" xfId="0" applyFill="1" applyBorder="1"/>
    <xf numFmtId="0" fontId="0" fillId="0" borderId="7" xfId="0" applyFill="1" applyBorder="1"/>
    <xf numFmtId="0" fontId="1" fillId="0" borderId="2" xfId="0" applyFont="1" applyFill="1" applyBorder="1"/>
    <xf numFmtId="0" fontId="1" fillId="4" borderId="5" xfId="0" applyFont="1" applyFill="1" applyBorder="1"/>
    <xf numFmtId="0" fontId="1" fillId="2" borderId="0" xfId="0" applyFont="1" applyFill="1" applyBorder="1"/>
    <xf numFmtId="0" fontId="1" fillId="3" borderId="0" xfId="0" applyFont="1" applyFill="1" applyBorder="1"/>
    <xf numFmtId="0" fontId="0" fillId="6" borderId="2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0" xfId="0" applyFill="1"/>
    <xf numFmtId="0" fontId="0" fillId="0" borderId="0" xfId="0" applyFont="1" applyFill="1" applyBorder="1"/>
    <xf numFmtId="0" fontId="0" fillId="0" borderId="7" xfId="0" applyFont="1" applyFill="1" applyBorder="1"/>
    <xf numFmtId="0" fontId="0" fillId="0" borderId="3" xfId="0" applyFont="1" applyFill="1" applyBorder="1"/>
    <xf numFmtId="0" fontId="0" fillId="0" borderId="6" xfId="0" applyFont="1" applyFill="1" applyBorder="1"/>
    <xf numFmtId="0" fontId="0" fillId="0" borderId="0" xfId="0" applyFill="1"/>
    <xf numFmtId="0" fontId="0" fillId="3" borderId="3" xfId="0" applyFill="1" applyBorder="1"/>
    <xf numFmtId="0" fontId="0" fillId="3" borderId="0" xfId="0" applyFill="1" applyBorder="1"/>
    <xf numFmtId="0" fontId="0" fillId="0" borderId="2" xfId="0" applyFont="1" applyFill="1" applyBorder="1"/>
    <xf numFmtId="16" fontId="0" fillId="0" borderId="2" xfId="0" applyNumberFormat="1" applyFont="1" applyFill="1" applyBorder="1"/>
    <xf numFmtId="0" fontId="0" fillId="4" borderId="5" xfId="0" applyFont="1" applyFill="1" applyBorder="1"/>
    <xf numFmtId="0" fontId="2" fillId="7" borderId="3" xfId="0" applyFont="1" applyFill="1" applyBorder="1"/>
    <xf numFmtId="0" fontId="0" fillId="7" borderId="0" xfId="0" applyFill="1"/>
    <xf numFmtId="0" fontId="0" fillId="7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anel Wu" id="{25E3CB2A-B924-49FE-B598-646D47C10158}" userId="e8dcad5bae4fa49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19-12-23T07:10:28.87" personId="{25E3CB2A-B924-49FE-B598-646D47C10158}" id="{F4BF1FBB-1470-4DDC-89D9-62CF15828626}">
    <text>from Ysolda's chart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5" dT="2019-12-23T07:10:28.87" personId="{25E3CB2A-B924-49FE-B598-646D47C10158}" id="{02316F12-2E6E-444F-A0F8-649AF22E34D4}">
    <text>from Ysolda's chart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"/>
  <sheetViews>
    <sheetView topLeftCell="A11" workbookViewId="0">
      <selection activeCell="B1" sqref="B1"/>
    </sheetView>
  </sheetViews>
  <sheetFormatPr defaultRowHeight="15" x14ac:dyDescent="0.25"/>
  <cols>
    <col min="1" max="1" width="31.5703125" style="1" customWidth="1"/>
    <col min="2" max="6" width="9.140625" style="2"/>
    <col min="7" max="13" width="9.140625" style="26"/>
  </cols>
  <sheetData>
    <row r="1" spans="1:19" s="17" customFormat="1" ht="15.75" thickBot="1" x14ac:dyDescent="0.3">
      <c r="A1" s="16" t="s">
        <v>0</v>
      </c>
      <c r="B1" s="34" t="s">
        <v>55</v>
      </c>
      <c r="C1" s="34" t="s">
        <v>54</v>
      </c>
      <c r="D1" s="17" t="s">
        <v>56</v>
      </c>
      <c r="E1" s="35" t="s">
        <v>57</v>
      </c>
      <c r="F1" s="34" t="s">
        <v>58</v>
      </c>
      <c r="G1" s="23" t="s">
        <v>40</v>
      </c>
      <c r="H1" s="23" t="s">
        <v>41</v>
      </c>
      <c r="I1" s="23" t="s">
        <v>42</v>
      </c>
      <c r="J1" s="23" t="s">
        <v>43</v>
      </c>
      <c r="K1" s="23" t="s">
        <v>44</v>
      </c>
      <c r="L1" s="23" t="s">
        <v>45</v>
      </c>
      <c r="M1" s="23" t="s">
        <v>46</v>
      </c>
    </row>
    <row r="2" spans="1:19" s="11" customFormat="1" x14ac:dyDescent="0.25">
      <c r="A2" s="10" t="s">
        <v>68</v>
      </c>
      <c r="B2" s="36">
        <f>'dimensions (in)'!B2*0.9144</f>
        <v>0</v>
      </c>
      <c r="C2" s="36">
        <f>'dimensions (in)'!C2*0.9144</f>
        <v>0</v>
      </c>
      <c r="D2" s="36">
        <f>'dimensions (in)'!D2*0.9144</f>
        <v>0</v>
      </c>
      <c r="E2" s="36">
        <f>'dimensions (in)'!E2*0.9144</f>
        <v>0</v>
      </c>
      <c r="F2" s="36">
        <f>'dimensions (in)'!F2*0.9144</f>
        <v>0</v>
      </c>
      <c r="G2" s="11">
        <f>'dimensions (in)'!G2*0.9144</f>
        <v>737.52568888888879</v>
      </c>
      <c r="H2" s="11">
        <f>'dimensions (in)'!H2*0.9144</f>
        <v>905.25599999999997</v>
      </c>
      <c r="I2" s="11">
        <f>'dimensions (in)'!I2*0.9144</f>
        <v>1081.1368888888892</v>
      </c>
      <c r="J2" s="11">
        <f>'dimensions (in)'!J2*0.9144</f>
        <v>1280.7131555555557</v>
      </c>
      <c r="K2" s="11">
        <f>'dimensions (in)'!K2*0.9144</f>
        <v>1503.9847999999997</v>
      </c>
      <c r="L2" s="11">
        <f>'dimensions (in)'!L2*0.9144</f>
        <v>1740.5886222222223</v>
      </c>
      <c r="M2" s="11">
        <f>'dimensions (in)'!M2*0.9144</f>
        <v>1990.5246222222222</v>
      </c>
      <c r="N2" s="11">
        <f>'dimensions (in)'!N2*0.9144</f>
        <v>0</v>
      </c>
      <c r="O2" s="11">
        <f>'dimensions (in)'!O2*0.9144</f>
        <v>0</v>
      </c>
      <c r="P2" s="11">
        <f>'dimensions (in)'!P2*0.9144</f>
        <v>0</v>
      </c>
      <c r="Q2" s="11">
        <f>'dimensions (in)'!Q2*0.9144</f>
        <v>0</v>
      </c>
    </row>
    <row r="3" spans="1:19" s="12" customFormat="1" x14ac:dyDescent="0.25">
      <c r="A3" s="29" t="s">
        <v>69</v>
      </c>
      <c r="B3" s="27">
        <f>'dimensions (in)'!B3*0.9144</f>
        <v>0</v>
      </c>
      <c r="C3" s="27">
        <f>'dimensions (in)'!C3*0.9144</f>
        <v>0</v>
      </c>
      <c r="D3" s="27">
        <f>'dimensions (in)'!D3*0.9144</f>
        <v>0</v>
      </c>
      <c r="E3" s="27">
        <f>'dimensions (in)'!E3*0.9144</f>
        <v>0</v>
      </c>
      <c r="F3" s="27">
        <f>'dimensions (in)'!F3*0.9144</f>
        <v>0</v>
      </c>
      <c r="G3" s="24">
        <f>'dimensions (in)'!G3*0.9144</f>
        <v>592.44088888888882</v>
      </c>
      <c r="H3" s="24">
        <f>'dimensions (in)'!H3*0.9144</f>
        <v>749.80799999999999</v>
      </c>
      <c r="I3" s="24">
        <f>'dimensions (in)'!I3*0.9144</f>
        <v>925.68888888888898</v>
      </c>
      <c r="J3" s="24">
        <f>'dimensions (in)'!J3*0.9144</f>
        <v>1120.0835555555557</v>
      </c>
      <c r="K3" s="24">
        <f>'dimensions (in)'!K3*0.9144</f>
        <v>1332.9919999999997</v>
      </c>
      <c r="L3" s="24">
        <f>'dimensions (in)'!L3*0.9144</f>
        <v>1564.4142222222222</v>
      </c>
      <c r="M3" s="24">
        <f>'dimensions (in)'!M3*0.9144</f>
        <v>1814.3502222222223</v>
      </c>
      <c r="N3" s="7">
        <f>'dimensions (in)'!N3*0.9144</f>
        <v>0</v>
      </c>
      <c r="O3" s="7">
        <f>'dimensions (in)'!O3*0.9144</f>
        <v>0</v>
      </c>
      <c r="P3" s="7">
        <f>'dimensions (in)'!P3*0.9144</f>
        <v>0</v>
      </c>
      <c r="Q3" s="7">
        <f>'dimensions (in)'!Q3*0.9144</f>
        <v>0</v>
      </c>
      <c r="R3" s="7"/>
      <c r="S3" s="7"/>
    </row>
    <row r="4" spans="1:19" s="12" customFormat="1" x14ac:dyDescent="0.25">
      <c r="A4" s="29" t="s">
        <v>70</v>
      </c>
      <c r="B4" s="27">
        <f>'dimensions (in)'!B4*0.9144</f>
        <v>0</v>
      </c>
      <c r="C4" s="27">
        <f>'dimensions (in)'!C4*0.9144</f>
        <v>0</v>
      </c>
      <c r="D4" s="27">
        <f>'dimensions (in)'!D4*0.9144</f>
        <v>0</v>
      </c>
      <c r="E4" s="27">
        <f>'dimensions (in)'!E4*0.9144</f>
        <v>0</v>
      </c>
      <c r="F4" s="27">
        <f>'dimensions (in)'!F4*0.9144</f>
        <v>0</v>
      </c>
      <c r="G4" s="24">
        <f>'dimensions (in)'!G4*0.9144</f>
        <v>76.809600000000003</v>
      </c>
      <c r="H4" s="24">
        <f>'dimensions (in)'!H4*0.9144</f>
        <v>82.295999999999992</v>
      </c>
      <c r="I4" s="24">
        <f>'dimensions (in)'!I4*0.9144</f>
        <v>82.295999999999992</v>
      </c>
      <c r="J4" s="24">
        <f>'dimensions (in)'!J4*0.9144</f>
        <v>85.039199999999994</v>
      </c>
      <c r="K4" s="24">
        <f>'dimensions (in)'!K4*0.9144</f>
        <v>90.525599999999997</v>
      </c>
      <c r="L4" s="24">
        <f>'dimensions (in)'!L4*0.9144</f>
        <v>93.268799999999999</v>
      </c>
      <c r="M4" s="24">
        <f>'dimensions (in)'!M4*0.9144</f>
        <v>93.268799999999999</v>
      </c>
      <c r="N4" s="7">
        <f>'dimensions (in)'!N4*0.9144</f>
        <v>0</v>
      </c>
      <c r="O4" s="7">
        <f>'dimensions (in)'!O4*0.9144</f>
        <v>0</v>
      </c>
      <c r="P4" s="7">
        <f>'dimensions (in)'!P4*0.9144</f>
        <v>0</v>
      </c>
      <c r="Q4" s="7">
        <f>'dimensions (in)'!Q4*0.9144</f>
        <v>0</v>
      </c>
      <c r="R4" s="7"/>
      <c r="S4" s="7"/>
    </row>
    <row r="5" spans="1:19" s="13" customFormat="1" ht="15.75" thickBot="1" x14ac:dyDescent="0.3">
      <c r="A5" s="30" t="s">
        <v>71</v>
      </c>
      <c r="B5" s="28">
        <f>'dimensions (in)'!B5*0.9144</f>
        <v>0</v>
      </c>
      <c r="C5" s="28">
        <f>'dimensions (in)'!C5*0.9144</f>
        <v>0</v>
      </c>
      <c r="D5" s="28">
        <f>'dimensions (in)'!D5*0.9144</f>
        <v>0</v>
      </c>
      <c r="E5" s="28">
        <f>'dimensions (in)'!E5*0.9144</f>
        <v>0</v>
      </c>
      <c r="F5" s="28">
        <f>'dimensions (in)'!F5*0.9144</f>
        <v>0</v>
      </c>
      <c r="G5" s="25">
        <f>'dimensions (in)'!G5*0.9144</f>
        <v>68.275199999999998</v>
      </c>
      <c r="H5" s="25">
        <f>'dimensions (in)'!H5*0.9144</f>
        <v>73.152000000000001</v>
      </c>
      <c r="I5" s="25">
        <f>'dimensions (in)'!I5*0.9144</f>
        <v>73.152000000000001</v>
      </c>
      <c r="J5" s="25">
        <f>'dimensions (in)'!J5*0.9144</f>
        <v>75.590400000000002</v>
      </c>
      <c r="K5" s="25">
        <f>'dimensions (in)'!K5*0.9144</f>
        <v>80.467200000000005</v>
      </c>
      <c r="L5" s="25">
        <f>'dimensions (in)'!L5*0.9144</f>
        <v>82.905600000000007</v>
      </c>
      <c r="M5" s="25">
        <f>'dimensions (in)'!M5*0.9144</f>
        <v>82.905600000000007</v>
      </c>
      <c r="N5" s="18">
        <f>'dimensions (in)'!N5*0.9144</f>
        <v>0</v>
      </c>
      <c r="O5" s="18">
        <f>'dimensions (in)'!O5*0.9144</f>
        <v>0</v>
      </c>
      <c r="P5" s="18">
        <f>'dimensions (in)'!P5*0.9144</f>
        <v>0</v>
      </c>
      <c r="Q5" s="18">
        <f>'dimensions (in)'!Q5*0.9144</f>
        <v>0</v>
      </c>
      <c r="R5" s="18"/>
      <c r="S5" s="18"/>
    </row>
    <row r="6" spans="1:19" s="9" customFormat="1" x14ac:dyDescent="0.25">
      <c r="A6" s="8" t="s">
        <v>48</v>
      </c>
      <c r="B6" s="21"/>
      <c r="C6" s="21"/>
      <c r="D6" s="21"/>
      <c r="E6" s="21"/>
      <c r="F6" s="21"/>
    </row>
    <row r="7" spans="1:19" s="2" customFormat="1" x14ac:dyDescent="0.25">
      <c r="A7" s="1" t="s">
        <v>19</v>
      </c>
      <c r="B7" s="2">
        <f>'dimensions (in)'!B7*2.5</f>
        <v>45</v>
      </c>
      <c r="C7" s="2">
        <f>'dimensions (in)'!C7*2.5</f>
        <v>50</v>
      </c>
      <c r="D7" s="2">
        <f>'dimensions (in)'!D7*2.5</f>
        <v>55</v>
      </c>
      <c r="E7" s="2">
        <f>'dimensions (in)'!E7*2.5</f>
        <v>60</v>
      </c>
      <c r="F7" s="2">
        <f>'dimensions (in)'!F7*2.5</f>
        <v>70</v>
      </c>
      <c r="G7" s="24">
        <f>'dimensions (in)'!G7*2.5</f>
        <v>80</v>
      </c>
      <c r="H7" s="24">
        <f>'dimensions (in)'!H7*2.5</f>
        <v>90</v>
      </c>
      <c r="I7" s="24">
        <f>'dimensions (in)'!I7*2.5</f>
        <v>100</v>
      </c>
      <c r="J7" s="24">
        <f>'dimensions (in)'!J7*2.5</f>
        <v>110</v>
      </c>
      <c r="K7" s="24">
        <f>'dimensions (in)'!K7*2.5</f>
        <v>120</v>
      </c>
      <c r="L7" s="24">
        <f>'dimensions (in)'!L7*2.5</f>
        <v>130</v>
      </c>
      <c r="M7" s="24">
        <f>'dimensions (in)'!M7*2.5</f>
        <v>140</v>
      </c>
      <c r="N7" s="7">
        <f>'dimensions (in)'!N7*2.5</f>
        <v>150</v>
      </c>
      <c r="O7" s="7">
        <f>'dimensions (in)'!O7*2.5</f>
        <v>160</v>
      </c>
      <c r="P7" s="7">
        <f>'dimensions (in)'!P7*2.5</f>
        <v>170</v>
      </c>
      <c r="Q7" s="7">
        <f>'dimensions (in)'!Q7*2.5</f>
        <v>180</v>
      </c>
      <c r="R7" s="7"/>
      <c r="S7" s="7"/>
    </row>
    <row r="8" spans="1:19" s="33" customFormat="1" x14ac:dyDescent="0.25">
      <c r="A8" s="32" t="s">
        <v>50</v>
      </c>
      <c r="B8" s="33">
        <f>'dimensions (in)'!B8*2.5</f>
        <v>25</v>
      </c>
      <c r="C8" s="33">
        <f>'dimensions (in)'!C8*2.5</f>
        <v>27.5</v>
      </c>
      <c r="D8" s="33">
        <f>'dimensions (in)'!D8*2.5</f>
        <v>27.5</v>
      </c>
      <c r="E8" s="33">
        <f>'dimensions (in)'!E8*2.5</f>
        <v>30</v>
      </c>
      <c r="F8" s="33">
        <f>'dimensions (in)'!F8*2.5</f>
        <v>30</v>
      </c>
      <c r="G8" s="33">
        <f>'dimensions (in)'!G8*2.5</f>
        <v>32.5</v>
      </c>
      <c r="H8" s="33">
        <f>'dimensions (in)'!H8*2.5</f>
        <v>35</v>
      </c>
      <c r="I8" s="33">
        <f>'dimensions (in)'!I8*2.5</f>
        <v>37.5</v>
      </c>
      <c r="J8" s="33">
        <f>'dimensions (in)'!J8*2.5</f>
        <v>40</v>
      </c>
      <c r="K8" s="33">
        <f>'dimensions (in)'!K8*2.5</f>
        <v>42.5</v>
      </c>
      <c r="L8" s="33">
        <f>'dimensions (in)'!L8*2.5</f>
        <v>45</v>
      </c>
      <c r="M8" s="33">
        <f>'dimensions (in)'!M8*2.5</f>
        <v>47.5</v>
      </c>
      <c r="N8" s="33">
        <f>'dimensions (in)'!N8*2.5</f>
        <v>50</v>
      </c>
      <c r="O8" s="33">
        <f>'dimensions (in)'!O8*2.5</f>
        <v>52.5</v>
      </c>
      <c r="P8" s="33">
        <f>'dimensions (in)'!P8*2.5</f>
        <v>55</v>
      </c>
      <c r="Q8" s="33">
        <f>'dimensions (in)'!Q8*2.5</f>
        <v>57.5</v>
      </c>
    </row>
    <row r="9" spans="1:19" s="33" customFormat="1" x14ac:dyDescent="0.25">
      <c r="A9" s="32" t="s">
        <v>59</v>
      </c>
      <c r="B9" s="33">
        <f>'dimensions (in)'!B9*2.5</f>
        <v>35</v>
      </c>
      <c r="C9" s="33">
        <f>'dimensions (in)'!C9*2.5</f>
        <v>40</v>
      </c>
      <c r="D9" s="33">
        <f>'dimensions (in)'!D9*2.5</f>
        <v>50</v>
      </c>
      <c r="E9" s="33">
        <f>'dimensions (in)'!E9*2.5</f>
        <v>50</v>
      </c>
      <c r="F9" s="33">
        <f>'dimensions (in)'!F9*2.5</f>
        <v>50</v>
      </c>
      <c r="G9" s="33">
        <f>'dimensions (in)'!G9*2.5</f>
        <v>50</v>
      </c>
      <c r="H9" s="33">
        <f>'dimensions (in)'!H9*2.5</f>
        <v>52.5</v>
      </c>
      <c r="I9" s="33">
        <f>'dimensions (in)'!I9*2.5</f>
        <v>52.5</v>
      </c>
      <c r="J9" s="33">
        <f>'dimensions (in)'!J9*2.5</f>
        <v>52.5</v>
      </c>
      <c r="K9" s="33">
        <f>'dimensions (in)'!K9*2.5</f>
        <v>55</v>
      </c>
      <c r="L9" s="33">
        <f>'dimensions (in)'!L9*2.5</f>
        <v>55</v>
      </c>
      <c r="M9" s="33">
        <f>'dimensions (in)'!M9*2.5</f>
        <v>55</v>
      </c>
      <c r="N9" s="33">
        <f>'dimensions (in)'!N9*2.5</f>
        <v>55</v>
      </c>
      <c r="O9" s="33">
        <f>'dimensions (in)'!O9*2.5</f>
        <v>57.5</v>
      </c>
      <c r="P9" s="33">
        <f>'dimensions (in)'!P9*2.5</f>
        <v>57.5</v>
      </c>
      <c r="Q9" s="33">
        <f>'dimensions (in)'!Q9*2.5</f>
        <v>57.5</v>
      </c>
    </row>
    <row r="10" spans="1:19" s="33" customFormat="1" x14ac:dyDescent="0.25">
      <c r="A10" s="32" t="s">
        <v>39</v>
      </c>
      <c r="B10" s="33">
        <f>'dimensions (in)'!B10*2.5</f>
        <v>8.75</v>
      </c>
      <c r="C10" s="33">
        <f>'dimensions (in)'!C10*2.5</f>
        <v>9.375</v>
      </c>
      <c r="D10" s="33">
        <f>'dimensions (in)'!D10*2.5</f>
        <v>10.625</v>
      </c>
      <c r="E10" s="33">
        <f>'dimensions (in)'!E10*2.5</f>
        <v>11.875</v>
      </c>
      <c r="F10" s="33">
        <f>'dimensions (in)'!F10*2.5</f>
        <v>13.125</v>
      </c>
      <c r="G10" s="33">
        <f>'dimensions (in)'!G10*2.5</f>
        <v>13.75</v>
      </c>
      <c r="H10" s="33">
        <f>'dimensions (in)'!H10*2.5</f>
        <v>14.574999999999999</v>
      </c>
      <c r="I10" s="33">
        <f>'dimensions (in)'!I10*2.5</f>
        <v>15.375</v>
      </c>
      <c r="J10" s="33">
        <f>'dimensions (in)'!J10*2.5</f>
        <v>16.200000000000003</v>
      </c>
      <c r="K10" s="33">
        <f>'dimensions (in)'!K10*2.5</f>
        <v>17</v>
      </c>
      <c r="L10" s="33">
        <f>'dimensions (in)'!L10*2.5</f>
        <v>17.824999999999999</v>
      </c>
      <c r="M10" s="33">
        <f>'dimensions (in)'!M10*2.5</f>
        <v>18.625</v>
      </c>
      <c r="N10" s="33">
        <f>'dimensions (in)'!N10*2.5</f>
        <v>19.45</v>
      </c>
      <c r="O10" s="33">
        <f>'dimensions (in)'!O10*2.5</f>
        <v>20.274999999999999</v>
      </c>
      <c r="P10" s="33">
        <f>'dimensions (in)'!P10*2.5</f>
        <v>21.099999999999998</v>
      </c>
      <c r="Q10" s="33">
        <f>'dimensions (in)'!Q10*2.5</f>
        <v>21.924999999999997</v>
      </c>
    </row>
    <row r="11" spans="1:19" s="33" customFormat="1" x14ac:dyDescent="0.25">
      <c r="A11" s="32" t="s">
        <v>38</v>
      </c>
      <c r="B11" s="33">
        <f>'dimensions (in)'!B11*2.5</f>
        <v>20</v>
      </c>
      <c r="C11" s="33">
        <f>'dimensions (in)'!C11*2.5</f>
        <v>22.5</v>
      </c>
      <c r="D11" s="33">
        <f>'dimensions (in)'!D11*2.5</f>
        <v>25</v>
      </c>
      <c r="E11" s="33">
        <f>'dimensions (in)'!E11*2.5</f>
        <v>28.75</v>
      </c>
      <c r="F11" s="33">
        <f>'dimensions (in)'!F11*2.5</f>
        <v>32.5</v>
      </c>
      <c r="G11" s="33">
        <f>'dimensions (in)'!G11*2.5</f>
        <v>35.625</v>
      </c>
      <c r="H11" s="33">
        <f>'dimensions (in)'!H11*2.5</f>
        <v>36.875</v>
      </c>
      <c r="I11" s="33">
        <f>'dimensions (in)'!I11*2.5</f>
        <v>38.125</v>
      </c>
      <c r="J11" s="33">
        <f>'dimensions (in)'!J11*2.5</f>
        <v>39.375</v>
      </c>
      <c r="K11" s="33">
        <f>'dimensions (in)'!K11*2.5</f>
        <v>40.625</v>
      </c>
      <c r="L11" s="33">
        <f>'dimensions (in)'!L11*2.5</f>
        <v>41.875</v>
      </c>
      <c r="M11" s="33">
        <f>'dimensions (in)'!M11*2.5</f>
        <v>43.125</v>
      </c>
      <c r="N11" s="33">
        <f>'dimensions (in)'!N11*2.5</f>
        <v>44.375</v>
      </c>
      <c r="O11" s="33">
        <f>'dimensions (in)'!O11*2.5</f>
        <v>45.625</v>
      </c>
      <c r="P11" s="33">
        <f>'dimensions (in)'!P11*2.5</f>
        <v>46.875</v>
      </c>
      <c r="Q11" s="33">
        <f>'dimensions (in)'!Q11*2.5</f>
        <v>48.125</v>
      </c>
    </row>
    <row r="12" spans="1:19" s="33" customFormat="1" x14ac:dyDescent="0.25">
      <c r="A12" s="32" t="s">
        <v>52</v>
      </c>
      <c r="B12" s="33">
        <f>'dimensions (in)'!B12*2.5</f>
        <v>10.675000000000004</v>
      </c>
      <c r="C12" s="33">
        <f>'dimensions (in)'!C12*2.5</f>
        <v>10.825000000000003</v>
      </c>
      <c r="D12" s="33">
        <f>'dimensions (in)'!D12*2.5</f>
        <v>10.975000000000001</v>
      </c>
      <c r="E12" s="33">
        <f>'dimensions (in)'!E12*2.5</f>
        <v>11.125</v>
      </c>
      <c r="F12" s="33">
        <f>'dimensions (in)'!F12*2.5</f>
        <v>11.425000000000001</v>
      </c>
      <c r="G12" s="33">
        <f>'dimensions (in)'!G12*2.5</f>
        <v>11.725000000000001</v>
      </c>
      <c r="H12" s="33">
        <f>'dimensions (in)'!H12*2.5</f>
        <v>12.024999999999999</v>
      </c>
      <c r="I12" s="33">
        <f>'dimensions (in)'!I12*2.5</f>
        <v>12.350000000000001</v>
      </c>
      <c r="J12" s="33">
        <f>'dimensions (in)'!J12*2.5</f>
        <v>12.649999999999999</v>
      </c>
      <c r="K12" s="33">
        <f>'dimensions (in)'!K12*2.5</f>
        <v>12.975000000000001</v>
      </c>
      <c r="L12" s="33">
        <f>'dimensions (in)'!L12*2.5</f>
        <v>13.274999999999999</v>
      </c>
      <c r="M12" s="33">
        <f>'dimensions (in)'!M12*2.5</f>
        <v>13.600000000000001</v>
      </c>
      <c r="N12" s="33">
        <f>'dimensions (in)'!N12*2.5</f>
        <v>13.899999999999999</v>
      </c>
      <c r="O12" s="33">
        <f>'dimensions (in)'!O12*2.5</f>
        <v>14.2</v>
      </c>
      <c r="P12" s="33">
        <f>'dimensions (in)'!P12*2.5</f>
        <v>14.5</v>
      </c>
      <c r="Q12" s="33">
        <f>'dimensions (in)'!Q12*2.5</f>
        <v>14.8</v>
      </c>
    </row>
    <row r="13" spans="1:19" s="33" customFormat="1" x14ac:dyDescent="0.25">
      <c r="A13" s="32" t="s">
        <v>53</v>
      </c>
      <c r="B13" s="33">
        <f>'dimensions (in)'!B13*2.5</f>
        <v>13.75</v>
      </c>
      <c r="C13" s="33">
        <f>'dimensions (in)'!C13*2.5</f>
        <v>15</v>
      </c>
      <c r="D13" s="33">
        <f>'dimensions (in)'!D13*2.5</f>
        <v>16.25</v>
      </c>
      <c r="E13" s="33">
        <f>'dimensions (in)'!E13*2.5</f>
        <v>18.75</v>
      </c>
      <c r="F13" s="33">
        <f>'dimensions (in)'!F13*2.5</f>
        <v>21.25</v>
      </c>
      <c r="G13" s="33">
        <f>'dimensions (in)'!G13*2.5</f>
        <v>23.75</v>
      </c>
      <c r="H13" s="33">
        <f>'dimensions (in)'!H13*2.5</f>
        <v>26.25</v>
      </c>
      <c r="I13" s="33">
        <f>'dimensions (in)'!I13*2.5</f>
        <v>28.75</v>
      </c>
      <c r="J13" s="33">
        <f>'dimensions (in)'!J13*2.5</f>
        <v>31.25</v>
      </c>
      <c r="K13" s="33">
        <f>'dimensions (in)'!K13*2.5</f>
        <v>33.75</v>
      </c>
      <c r="L13" s="33">
        <f>'dimensions (in)'!L13*2.5</f>
        <v>37.5</v>
      </c>
      <c r="M13" s="33">
        <f>'dimensions (in)'!M13*2.5</f>
        <v>41.25</v>
      </c>
      <c r="N13" s="33">
        <f>'dimensions (in)'!N13*2.5</f>
        <v>45</v>
      </c>
      <c r="O13" s="33">
        <f>'dimensions (in)'!O13*2.5</f>
        <v>48.75</v>
      </c>
      <c r="P13" s="33">
        <f>'dimensions (in)'!P13*2.5</f>
        <v>52.5</v>
      </c>
      <c r="Q13" s="33">
        <f>'dimensions (in)'!Q13*2.5</f>
        <v>56.25</v>
      </c>
    </row>
    <row r="14" spans="1:19" s="33" customFormat="1" x14ac:dyDescent="0.25">
      <c r="A14" s="32" t="s">
        <v>67</v>
      </c>
      <c r="B14" s="33">
        <f>'dimensions (in)'!B14*2.5</f>
        <v>16.25</v>
      </c>
      <c r="C14" s="33">
        <f>'dimensions (in)'!C14*2.5</f>
        <v>18.75</v>
      </c>
      <c r="D14" s="33">
        <f>'dimensions (in)'!D14*2.5</f>
        <v>21.25</v>
      </c>
      <c r="E14" s="33">
        <f>'dimensions (in)'!E14*2.5</f>
        <v>27.5</v>
      </c>
      <c r="F14" s="33">
        <f>'dimensions (in)'!F14*2.5</f>
        <v>36.25</v>
      </c>
      <c r="G14" s="33">
        <f>'dimensions (in)'!G14*2.5</f>
        <v>41.25</v>
      </c>
      <c r="H14" s="33">
        <f>'dimensions (in)'!H14*2.5</f>
        <v>42.5</v>
      </c>
      <c r="I14" s="33">
        <f>'dimensions (in)'!I14*2.5</f>
        <v>42.5</v>
      </c>
      <c r="J14" s="33">
        <f>'dimensions (in)'!J14*2.5</f>
        <v>43.75</v>
      </c>
      <c r="K14" s="33">
        <f>'dimensions (in)'!K14*2.5</f>
        <v>43.75</v>
      </c>
      <c r="L14" s="33">
        <f>'dimensions (in)'!L14*2.5</f>
        <v>45</v>
      </c>
      <c r="M14" s="33">
        <f>'dimensions (in)'!M14*2.5</f>
        <v>45</v>
      </c>
      <c r="N14" s="33">
        <f>'dimensions (in)'!N14*2.5</f>
        <v>46.25</v>
      </c>
      <c r="O14" s="33">
        <f>'dimensions (in)'!O14*2.5</f>
        <v>46.25</v>
      </c>
      <c r="P14" s="33">
        <f>'dimensions (in)'!P14*2.5</f>
        <v>47.5</v>
      </c>
      <c r="Q14" s="33">
        <f>'dimensions (in)'!Q14*2.5</f>
        <v>47.5</v>
      </c>
    </row>
    <row r="15" spans="1:19" s="33" customFormat="1" x14ac:dyDescent="0.25">
      <c r="A15" s="32" t="s">
        <v>51</v>
      </c>
      <c r="B15" s="33">
        <f>'dimensions (in)'!B15*2.5</f>
        <v>67.700000000000017</v>
      </c>
      <c r="C15" s="33">
        <f>'dimensions (in)'!C15*2.5</f>
        <v>70.975000000000009</v>
      </c>
      <c r="D15" s="33">
        <f>'dimensions (in)'!D15*2.5</f>
        <v>74.25</v>
      </c>
      <c r="E15" s="33">
        <f>'dimensions (in)'!E15*2.5</f>
        <v>77.525000000000006</v>
      </c>
      <c r="F15" s="33">
        <f>'dimensions (in)'!F15*2.5</f>
        <v>84.075000000000003</v>
      </c>
      <c r="G15" s="33">
        <f>'dimensions (in)'!G15*2.5</f>
        <v>90.625</v>
      </c>
      <c r="H15" s="33">
        <f>'dimensions (in)'!H15*2.5</f>
        <v>97.2</v>
      </c>
      <c r="I15" s="33">
        <f>'dimensions (in)'!I15*2.5</f>
        <v>103.75</v>
      </c>
      <c r="J15" s="33">
        <f>'dimensions (in)'!J15*2.5</f>
        <v>110.325</v>
      </c>
      <c r="K15" s="33">
        <f>'dimensions (in)'!K15*2.5</f>
        <v>116.875</v>
      </c>
      <c r="L15" s="33">
        <f>'dimensions (in)'!L15*2.5</f>
        <v>123.45</v>
      </c>
      <c r="M15" s="33">
        <f>'dimensions (in)'!M15*2.5</f>
        <v>130</v>
      </c>
      <c r="N15" s="33">
        <f>'dimensions (in)'!N15*2.5</f>
        <v>136.57500000000002</v>
      </c>
      <c r="O15" s="33">
        <f>'dimensions (in)'!O15*2.5</f>
        <v>143.125</v>
      </c>
      <c r="P15" s="33">
        <f>'dimensions (in)'!P15*2.5</f>
        <v>149.67499999999998</v>
      </c>
      <c r="Q15" s="33">
        <f>'dimensions (in)'!Q15*2.5</f>
        <v>156.22499999999999</v>
      </c>
    </row>
    <row r="16" spans="1:19" s="2" customFormat="1" x14ac:dyDescent="0.25">
      <c r="A16" s="1" t="s">
        <v>47</v>
      </c>
      <c r="B16" s="7">
        <f>'dimensions (in)'!B16*2.5</f>
        <v>13.287682265918313</v>
      </c>
      <c r="C16" s="7">
        <f>'dimensions (in)'!C16*2.5</f>
        <v>14.644218142324977</v>
      </c>
      <c r="D16" s="7">
        <f>'dimensions (in)'!D16*2.5</f>
        <v>16.405505935508359</v>
      </c>
      <c r="E16" s="7">
        <f>'dimensions (in)'!E16*2.5</f>
        <v>18.645542362720374</v>
      </c>
      <c r="F16" s="7">
        <f>'dimensions (in)'!F16*2.5</f>
        <v>20.888468708835504</v>
      </c>
      <c r="G16" s="24">
        <f>'dimensions (in)'!G16*2.5</f>
        <v>22.502170034243363</v>
      </c>
      <c r="H16" s="24">
        <f>'dimensions (in)'!H16*2.5</f>
        <v>23.502596266157489</v>
      </c>
      <c r="I16" s="24">
        <f>'dimensions (in)'!I16*2.5</f>
        <v>24.490192552325922</v>
      </c>
      <c r="J16" s="24">
        <f>'dimensions (in)'!J16*2.5</f>
        <v>25.495836057089797</v>
      </c>
      <c r="K16" s="24">
        <f>'dimensions (in)'!K16*2.5</f>
        <v>26.487688767614284</v>
      </c>
      <c r="L16" s="24">
        <f>'dimensions (in)'!L16*2.5</f>
        <v>27.497445904119896</v>
      </c>
      <c r="M16" s="24">
        <f>'dimensions (in)'!M16*2.5</f>
        <v>28.492666271340774</v>
      </c>
      <c r="N16" s="7">
        <f>'dimensions (in)'!N16*2.5</f>
        <v>29.50572243226727</v>
      </c>
      <c r="O16" s="7">
        <f>'dimensions (in)'!O16*2.5</f>
        <v>30.520251985362115</v>
      </c>
      <c r="P16" s="7">
        <f>'dimensions (in)'!P16*2.5</f>
        <v>31.536112732072734</v>
      </c>
      <c r="Q16" s="7">
        <f>'dimensions (in)'!Q16*2.5</f>
        <v>32.553180048191912</v>
      </c>
      <c r="R16" s="7"/>
      <c r="S16" s="7"/>
    </row>
    <row r="17" spans="1:19" s="2" customFormat="1" x14ac:dyDescent="0.25">
      <c r="A17" s="1" t="s">
        <v>60</v>
      </c>
      <c r="B17" s="7">
        <f>'dimensions (in)'!B17*2.5</f>
        <v>100.20000000000002</v>
      </c>
      <c r="C17" s="7">
        <f>'dimensions (in)'!C17*2.5</f>
        <v>105.97499999999999</v>
      </c>
      <c r="D17" s="7">
        <f>'dimensions (in)'!D17*2.5</f>
        <v>111.75</v>
      </c>
      <c r="E17" s="7">
        <f>'dimensions (in)'!E17*2.5</f>
        <v>120.02500000000001</v>
      </c>
      <c r="F17" s="7">
        <f>'dimensions (in)'!F17*2.5</f>
        <v>131.57500000000002</v>
      </c>
      <c r="G17" s="24">
        <f>'dimensions (in)'!G17*2.5</f>
        <v>138.125</v>
      </c>
      <c r="H17" s="24">
        <f>'dimensions (in)'!H17*2.5</f>
        <v>149.70000000000002</v>
      </c>
      <c r="I17" s="24">
        <f>'dimensions (in)'!I17*2.5</f>
        <v>161.25</v>
      </c>
      <c r="J17" s="24">
        <f>'dimensions (in)'!J17*2.5</f>
        <v>172.82499999999999</v>
      </c>
      <c r="K17" s="24">
        <f>'dimensions (in)'!K17*2.5</f>
        <v>184.375</v>
      </c>
      <c r="L17" s="24">
        <f>'dimensions (in)'!L17*2.5</f>
        <v>198.45</v>
      </c>
      <c r="M17" s="24">
        <f>'dimensions (in)'!M17*2.5</f>
        <v>212.5</v>
      </c>
      <c r="N17" s="7">
        <f>'dimensions (in)'!N17*2.5</f>
        <v>226.57499999999999</v>
      </c>
      <c r="O17" s="7">
        <f>'dimensions (in)'!O17*2.5</f>
        <v>240.625</v>
      </c>
      <c r="P17" s="7">
        <f>'dimensions (in)'!P17*2.5</f>
        <v>254.67500000000001</v>
      </c>
      <c r="Q17" s="7">
        <f>'dimensions (in)'!Q17*2.5</f>
        <v>268.72499999999997</v>
      </c>
      <c r="R17" s="7"/>
      <c r="S17" s="7"/>
    </row>
    <row r="18" spans="1:19" s="2" customFormat="1" x14ac:dyDescent="0.25">
      <c r="A18" s="1" t="s">
        <v>37</v>
      </c>
      <c r="B18" s="2">
        <f>'dimensions (in)'!B18*2.5</f>
        <v>83.488969979688704</v>
      </c>
      <c r="C18" s="2">
        <f>'dimensions (in)'!C18*2.5</f>
        <v>92.012336266989024</v>
      </c>
      <c r="D18" s="2">
        <f>'dimensions (in)'!D18*2.5</f>
        <v>103.0788338508336</v>
      </c>
      <c r="E18" s="2">
        <f>'dimensions (in)'!E18*2.5</f>
        <v>117.15339781783919</v>
      </c>
      <c r="F18" s="2">
        <f>'dimensions (in)'!F18*2.5</f>
        <v>131.24611968083576</v>
      </c>
      <c r="G18" s="24">
        <f>'dimensions (in)'!G18*2.5</f>
        <v>133.33333333333334</v>
      </c>
      <c r="H18" s="24">
        <f>'dimensions (in)'!H18*2.5</f>
        <v>145</v>
      </c>
      <c r="I18" s="24">
        <f>'dimensions (in)'!I18*2.5</f>
        <v>155.83333333333334</v>
      </c>
      <c r="J18" s="24">
        <f>'dimensions (in)'!J18*2.5</f>
        <v>174.16666666666669</v>
      </c>
      <c r="K18" s="24">
        <f>'dimensions (in)'!K18*2.5</f>
        <v>190</v>
      </c>
      <c r="L18" s="24">
        <f>'dimensions (in)'!L18*2.5</f>
        <v>210</v>
      </c>
      <c r="M18" s="24">
        <f>'dimensions (in)'!M18*2.5</f>
        <v>220</v>
      </c>
      <c r="N18" s="7">
        <f>'dimensions (in)'!N18*2.5</f>
        <v>244.41590844928589</v>
      </c>
      <c r="O18" s="7">
        <f>'dimensions (in)'!O18*2.5</f>
        <v>254.78316420613223</v>
      </c>
      <c r="P18" s="7">
        <f>'dimensions (in)'!P18*2.5</f>
        <v>265.1504199629785</v>
      </c>
      <c r="Q18" s="7">
        <f>'dimensions (in)'!Q18*2.5</f>
        <v>275.51767571982487</v>
      </c>
      <c r="R18" s="7"/>
      <c r="S18" s="7"/>
    </row>
    <row r="19" spans="1:19" s="4" customFormat="1" ht="15.75" thickBot="1" x14ac:dyDescent="0.3">
      <c r="A19" s="3"/>
      <c r="G19" s="25"/>
      <c r="H19" s="25"/>
      <c r="I19" s="25"/>
      <c r="J19" s="25"/>
      <c r="K19" s="25"/>
      <c r="L19" s="25"/>
      <c r="M19" s="25"/>
      <c r="N19" s="18"/>
      <c r="O19" s="18"/>
      <c r="P19" s="18"/>
      <c r="Q19" s="18"/>
      <c r="R19" s="18"/>
      <c r="S19" s="18"/>
    </row>
    <row r="20" spans="1:19" s="15" customFormat="1" x14ac:dyDescent="0.25">
      <c r="A20" s="8" t="s">
        <v>49</v>
      </c>
      <c r="B20" s="21"/>
      <c r="C20" s="9"/>
      <c r="D20" s="9"/>
      <c r="E20" s="9"/>
      <c r="F20" s="9"/>
    </row>
    <row r="21" spans="1:19" s="2" customFormat="1" x14ac:dyDescent="0.25">
      <c r="A21" s="1" t="s">
        <v>19</v>
      </c>
      <c r="B21" s="2">
        <f>'dimensions (in)'!B21*2.5</f>
        <v>45</v>
      </c>
      <c r="C21" s="2">
        <f>'dimensions (in)'!C21*2.5</f>
        <v>50</v>
      </c>
      <c r="D21" s="2">
        <f>'dimensions (in)'!D21*2.5</f>
        <v>55</v>
      </c>
      <c r="E21" s="2">
        <f>'dimensions (in)'!E21*2.5</f>
        <v>60</v>
      </c>
      <c r="F21" s="2">
        <f>'dimensions (in)'!F21*2.5</f>
        <v>70</v>
      </c>
      <c r="G21" s="24">
        <f>'dimensions (in)'!G21*2.5</f>
        <v>80</v>
      </c>
      <c r="H21" s="24">
        <f>'dimensions (in)'!H21*2.5</f>
        <v>90</v>
      </c>
      <c r="I21" s="24">
        <f>'dimensions (in)'!I21*2.5</f>
        <v>100</v>
      </c>
      <c r="J21" s="24">
        <f>'dimensions (in)'!J21*2.5</f>
        <v>110</v>
      </c>
      <c r="K21" s="24">
        <f>'dimensions (in)'!K21*2.5</f>
        <v>120</v>
      </c>
      <c r="L21" s="24">
        <f>'dimensions (in)'!L21*2.5</f>
        <v>130</v>
      </c>
      <c r="M21" s="24">
        <f>'dimensions (in)'!M21*2.5</f>
        <v>140</v>
      </c>
      <c r="N21" s="7">
        <f>'dimensions (in)'!N21*2.5</f>
        <v>150</v>
      </c>
      <c r="O21" s="7">
        <f>'dimensions (in)'!O21*2.5</f>
        <v>160</v>
      </c>
      <c r="P21" s="7">
        <f>'dimensions (in)'!P21*2.5</f>
        <v>170</v>
      </c>
      <c r="Q21" s="7">
        <f>'dimensions (in)'!Q21*2.5</f>
        <v>180</v>
      </c>
      <c r="R21" s="7"/>
      <c r="S21" s="7"/>
    </row>
    <row r="22" spans="1:19" s="2" customFormat="1" x14ac:dyDescent="0.25">
      <c r="A22" s="1" t="s">
        <v>36</v>
      </c>
      <c r="B22" s="2">
        <f>'dimensions (in)'!B22*2.5</f>
        <v>35</v>
      </c>
      <c r="C22" s="2">
        <f>'dimensions (in)'!C22*2.5</f>
        <v>40</v>
      </c>
      <c r="D22" s="2">
        <f>'dimensions (in)'!D22*2.5</f>
        <v>45</v>
      </c>
      <c r="E22" s="2">
        <f>'dimensions (in)'!E22*2.5</f>
        <v>50</v>
      </c>
      <c r="F22" s="2">
        <f>'dimensions (in)'!F22*2.5</f>
        <v>50</v>
      </c>
      <c r="G22" s="24">
        <f>'dimensions (in)'!G22*2.5</f>
        <v>50</v>
      </c>
      <c r="H22" s="24">
        <f>'dimensions (in)'!H22*2.5</f>
        <v>52.5</v>
      </c>
      <c r="I22" s="24">
        <f>'dimensions (in)'!I22*2.5</f>
        <v>52.5</v>
      </c>
      <c r="J22" s="24">
        <f>'dimensions (in)'!J22*2.5</f>
        <v>52.5</v>
      </c>
      <c r="K22" s="24">
        <f>'dimensions (in)'!K22*2.5</f>
        <v>55</v>
      </c>
      <c r="L22" s="24">
        <f>'dimensions (in)'!L22*2.5</f>
        <v>55</v>
      </c>
      <c r="M22" s="24">
        <f>'dimensions (in)'!M22*2.5</f>
        <v>55</v>
      </c>
      <c r="N22" s="7">
        <f>'dimensions (in)'!N22*2.5</f>
        <v>55</v>
      </c>
      <c r="O22" s="7">
        <f>'dimensions (in)'!O22*2.5</f>
        <v>57.5</v>
      </c>
      <c r="P22" s="7">
        <f>'dimensions (in)'!P22*2.5</f>
        <v>57.5</v>
      </c>
      <c r="Q22" s="7">
        <f>'dimensions (in)'!Q22*2.5</f>
        <v>57.5</v>
      </c>
      <c r="R22" s="7"/>
      <c r="S22" s="7"/>
    </row>
    <row r="23" spans="1:19" s="2" customFormat="1" x14ac:dyDescent="0.25">
      <c r="A23" s="1" t="s">
        <v>32</v>
      </c>
      <c r="B23" s="2">
        <f>'dimensions (in)'!B23*2.5</f>
        <v>12.5</v>
      </c>
      <c r="C23" s="2">
        <f>'dimensions (in)'!C23*2.5</f>
        <v>11.875</v>
      </c>
      <c r="D23" s="2">
        <f>'dimensions (in)'!D23*2.5</f>
        <v>11.875</v>
      </c>
      <c r="E23" s="2">
        <f>'dimensions (in)'!E23*2.5</f>
        <v>13.125</v>
      </c>
      <c r="F23" s="2">
        <f>'dimensions (in)'!F23*2.5</f>
        <v>13.125</v>
      </c>
      <c r="G23" s="24">
        <f>'dimensions (in)'!G23*2.5</f>
        <v>13.125</v>
      </c>
      <c r="H23" s="24">
        <f>'dimensions (in)'!H23*2.5</f>
        <v>13.75</v>
      </c>
      <c r="I23" s="24">
        <f>'dimensions (in)'!I23*2.5</f>
        <v>13.75</v>
      </c>
      <c r="J23" s="24">
        <f>'dimensions (in)'!J23*2.5</f>
        <v>15</v>
      </c>
      <c r="K23" s="24">
        <f>'dimensions (in)'!K23*2.5</f>
        <v>15.625</v>
      </c>
      <c r="L23" s="24">
        <f>'dimensions (in)'!L23*2.5</f>
        <v>16.875</v>
      </c>
      <c r="M23" s="24">
        <f>'dimensions (in)'!M23*2.5</f>
        <v>16.875</v>
      </c>
      <c r="N23" s="7">
        <f>'dimensions (in)'!N23*2.5</f>
        <v>0</v>
      </c>
      <c r="O23" s="7">
        <f>'dimensions (in)'!O23*2.5</f>
        <v>0</v>
      </c>
      <c r="P23" s="7">
        <f>'dimensions (in)'!P23*2.5</f>
        <v>0</v>
      </c>
      <c r="Q23" s="7">
        <f>'dimensions (in)'!Q23*2.5</f>
        <v>0</v>
      </c>
      <c r="R23" s="7"/>
      <c r="S23" s="7"/>
    </row>
    <row r="24" spans="1:19" s="2" customFormat="1" x14ac:dyDescent="0.25">
      <c r="A24" s="1" t="s">
        <v>18</v>
      </c>
      <c r="B24" s="2">
        <f>'dimensions (in)'!B24*2.5</f>
        <v>14.875</v>
      </c>
      <c r="C24" s="2">
        <f>'dimensions (in)'!C24*2.5</f>
        <v>15.9375</v>
      </c>
      <c r="D24" s="2">
        <f>'dimensions (in)'!D24*2.5</f>
        <v>18.0625</v>
      </c>
      <c r="E24" s="2">
        <f>'dimensions (in)'!E24*2.5</f>
        <v>20.1875</v>
      </c>
      <c r="F24" s="2">
        <f>'dimensions (in)'!F24*2.5</f>
        <v>22.312499999999996</v>
      </c>
      <c r="G24" s="24">
        <f>'dimensions (in)'!G24*2.5</f>
        <v>23.75</v>
      </c>
      <c r="H24" s="24">
        <f>'dimensions (in)'!H24*2.5</f>
        <v>25</v>
      </c>
      <c r="I24" s="24">
        <f>'dimensions (in)'!I24*2.5</f>
        <v>26.25</v>
      </c>
      <c r="J24" s="24">
        <f>'dimensions (in)'!J24*2.5</f>
        <v>27.5</v>
      </c>
      <c r="K24" s="24">
        <f>'dimensions (in)'!K24*2.5</f>
        <v>30</v>
      </c>
      <c r="L24" s="24">
        <f>'dimensions (in)'!L24*2.5</f>
        <v>33.75</v>
      </c>
      <c r="M24" s="24">
        <f>'dimensions (in)'!M24*2.5</f>
        <v>37.5</v>
      </c>
      <c r="N24" s="2">
        <f>'dimensions (in)'!N24*2.5</f>
        <v>38.9</v>
      </c>
      <c r="O24" s="2">
        <f>'dimensions (in)'!O24*2.5</f>
        <v>40.549999999999997</v>
      </c>
      <c r="P24" s="2">
        <f>'dimensions (in)'!P24*2.5</f>
        <v>42.199999999999996</v>
      </c>
      <c r="Q24" s="2">
        <f>'dimensions (in)'!Q24*2.5</f>
        <v>43.849999999999994</v>
      </c>
      <c r="R24" s="7"/>
      <c r="S24" s="7"/>
    </row>
    <row r="25" spans="1:19" s="2" customFormat="1" x14ac:dyDescent="0.25">
      <c r="A25" s="1" t="s">
        <v>21</v>
      </c>
      <c r="B25" s="2">
        <f>'dimensions (in)'!B25*2.5</f>
        <v>14.000000000000005</v>
      </c>
      <c r="C25" s="2">
        <f>'dimensions (in)'!C25*2.5</f>
        <v>15.500000000000005</v>
      </c>
      <c r="D25" s="2">
        <f>'dimensions (in)'!D25*2.5</f>
        <v>17.000000000000004</v>
      </c>
      <c r="E25" s="2">
        <f>'dimensions (in)'!E25*2.5</f>
        <v>18.500000000000004</v>
      </c>
      <c r="F25" s="2">
        <f>'dimensions (in)'!F25*2.5</f>
        <v>21.500000000000004</v>
      </c>
      <c r="G25" s="24">
        <f>'dimensions (in)'!G25*2.5</f>
        <v>24.5</v>
      </c>
      <c r="H25" s="24">
        <f>'dimensions (in)'!H25*2.5</f>
        <v>27.5</v>
      </c>
      <c r="I25" s="24">
        <f>'dimensions (in)'!I25*2.5</f>
        <v>30.555555555555557</v>
      </c>
      <c r="J25" s="24">
        <f>'dimensions (in)'!J25*2.5</f>
        <v>33.611111111111114</v>
      </c>
      <c r="K25" s="24">
        <f>'dimensions (in)'!K25*2.5</f>
        <v>36.666666666666664</v>
      </c>
      <c r="L25" s="24">
        <f>'dimensions (in)'!L25*2.5</f>
        <v>39.722222222222221</v>
      </c>
      <c r="M25" s="24">
        <f>'dimensions (in)'!M25*2.5</f>
        <v>42.777777777777779</v>
      </c>
      <c r="N25" s="7">
        <f>'dimensions (in)'!N25*2.5</f>
        <v>0</v>
      </c>
      <c r="O25" s="7">
        <f>'dimensions (in)'!O25*2.5</f>
        <v>0</v>
      </c>
      <c r="P25" s="7">
        <f>'dimensions (in)'!P25*2.5</f>
        <v>0</v>
      </c>
      <c r="Q25" s="7">
        <f>'dimensions (in)'!Q25*2.5</f>
        <v>0</v>
      </c>
      <c r="R25" s="7"/>
      <c r="S25" s="7"/>
    </row>
    <row r="26" spans="1:19" s="2" customFormat="1" x14ac:dyDescent="0.25">
      <c r="A26" s="1" t="s">
        <v>20</v>
      </c>
      <c r="B26" s="2">
        <f>'dimensions (in)'!B26*2.5</f>
        <v>17.5</v>
      </c>
      <c r="C26" s="2">
        <f>'dimensions (in)'!C26*2.5</f>
        <v>20</v>
      </c>
      <c r="D26" s="2">
        <f>'dimensions (in)'!D26*2.5</f>
        <v>22.5</v>
      </c>
      <c r="E26" s="2">
        <f>'dimensions (in)'!E26*2.5</f>
        <v>26.25</v>
      </c>
      <c r="F26" s="2">
        <f>'dimensions (in)'!F26*2.5</f>
        <v>30</v>
      </c>
      <c r="G26" s="24">
        <f>'dimensions (in)'!G26*2.5</f>
        <v>32.5</v>
      </c>
      <c r="H26" s="24">
        <f>'dimensions (in)'!H26*2.5</f>
        <v>33.75</v>
      </c>
      <c r="I26" s="24">
        <f>'dimensions (in)'!I26*2.5</f>
        <v>35</v>
      </c>
      <c r="J26" s="24">
        <f>'dimensions (in)'!J26*2.5</f>
        <v>37.5</v>
      </c>
      <c r="K26" s="24">
        <f>'dimensions (in)'!K26*2.5</f>
        <v>41.25</v>
      </c>
      <c r="L26" s="24">
        <f>'dimensions (in)'!L26*2.5</f>
        <v>46.25</v>
      </c>
      <c r="M26" s="24">
        <f>'dimensions (in)'!M26*2.5</f>
        <v>50</v>
      </c>
      <c r="N26" s="7">
        <f>'dimensions (in)'!N26*2.5</f>
        <v>55</v>
      </c>
      <c r="O26" s="7">
        <f>'dimensions (in)'!O26*2.5</f>
        <v>60</v>
      </c>
      <c r="P26" s="7">
        <f>'dimensions (in)'!P26*2.5</f>
        <v>60</v>
      </c>
      <c r="Q26" s="7">
        <f>'dimensions (in)'!Q26*2.5</f>
        <v>65</v>
      </c>
      <c r="R26" s="7"/>
      <c r="S26" s="7"/>
    </row>
    <row r="27" spans="1:19" s="2" customFormat="1" x14ac:dyDescent="0.25">
      <c r="A27" s="1" t="s">
        <v>62</v>
      </c>
      <c r="B27" s="2">
        <f>'dimensions (in)'!B27*2.5</f>
        <v>20</v>
      </c>
      <c r="C27" s="2">
        <f>'dimensions (in)'!C27*2.5</f>
        <v>22.5</v>
      </c>
      <c r="D27" s="2">
        <f>'dimensions (in)'!D27*2.5</f>
        <v>26.25</v>
      </c>
      <c r="E27" s="2">
        <f>'dimensions (in)'!E27*2.5</f>
        <v>32.5</v>
      </c>
      <c r="F27" s="2">
        <f>'dimensions (in)'!F27*2.5</f>
        <v>41.25</v>
      </c>
      <c r="G27" s="24">
        <f>'dimensions (in)'!G27*2.5</f>
        <v>46.25</v>
      </c>
      <c r="H27" s="24">
        <f>'dimensions (in)'!H27*2.5</f>
        <v>47.5</v>
      </c>
      <c r="I27" s="24">
        <f>'dimensions (in)'!I27*2.5</f>
        <v>48.75</v>
      </c>
      <c r="J27" s="24">
        <f>'dimensions (in)'!J27*2.5</f>
        <v>50</v>
      </c>
      <c r="K27" s="24">
        <f>'dimensions (in)'!K27*2.5</f>
        <v>51.25</v>
      </c>
      <c r="L27" s="24">
        <f>'dimensions (in)'!L27*2.5</f>
        <v>52.5</v>
      </c>
      <c r="M27" s="24">
        <f>'dimensions (in)'!M27*2.5</f>
        <v>53.75</v>
      </c>
      <c r="N27" s="7">
        <f>'dimensions (in)'!N27*2.5</f>
        <v>0</v>
      </c>
      <c r="O27" s="7">
        <f>'dimensions (in)'!O27*2.5</f>
        <v>0</v>
      </c>
      <c r="P27" s="7">
        <f>'dimensions (in)'!P27*2.5</f>
        <v>0</v>
      </c>
      <c r="Q27" s="7">
        <f>'dimensions (in)'!Q27*2.5</f>
        <v>0</v>
      </c>
      <c r="R27" s="7"/>
      <c r="S27" s="7"/>
    </row>
    <row r="28" spans="1:19" s="2" customFormat="1" x14ac:dyDescent="0.25">
      <c r="A28" s="1" t="s">
        <v>61</v>
      </c>
      <c r="B28" s="2">
        <f>'dimensions (in)'!B28*2.5</f>
        <v>0</v>
      </c>
      <c r="C28" s="2">
        <f>'dimensions (in)'!C28*2.5</f>
        <v>0</v>
      </c>
      <c r="D28" s="2">
        <f>'dimensions (in)'!D28*2.5</f>
        <v>0</v>
      </c>
      <c r="E28" s="2">
        <f>'dimensions (in)'!E28*2.5</f>
        <v>0</v>
      </c>
      <c r="F28" s="2">
        <f>'dimensions (in)'!F28*2.5</f>
        <v>0</v>
      </c>
      <c r="G28" s="24">
        <f>'dimensions (in)'!G28*2.5</f>
        <v>5</v>
      </c>
      <c r="H28" s="24">
        <f>'dimensions (in)'!H28*2.5</f>
        <v>5</v>
      </c>
      <c r="I28" s="24">
        <f>'dimensions (in)'!I28*2.5</f>
        <v>6.25</v>
      </c>
      <c r="J28" s="24">
        <f>'dimensions (in)'!J28*2.5</f>
        <v>6.25</v>
      </c>
      <c r="K28" s="24">
        <f>'dimensions (in)'!K28*2.5</f>
        <v>6.25</v>
      </c>
      <c r="L28" s="24">
        <f>'dimensions (in)'!L28*2.5</f>
        <v>7.5</v>
      </c>
      <c r="M28" s="24">
        <f>'dimensions (in)'!M28*2.5</f>
        <v>7.5</v>
      </c>
      <c r="N28" s="7">
        <f>'dimensions (in)'!N28*2.5</f>
        <v>0</v>
      </c>
      <c r="O28" s="7">
        <f>'dimensions (in)'!O28*2.5</f>
        <v>0</v>
      </c>
      <c r="P28" s="7">
        <f>'dimensions (in)'!P28*2.5</f>
        <v>0</v>
      </c>
      <c r="Q28" s="7">
        <f>'dimensions (in)'!Q28*2.5</f>
        <v>0</v>
      </c>
      <c r="R28" s="7"/>
      <c r="S28" s="7"/>
    </row>
    <row r="29" spans="1:19" s="2" customFormat="1" x14ac:dyDescent="0.25">
      <c r="A29" s="1" t="s">
        <v>35</v>
      </c>
      <c r="B29" s="2">
        <f>'dimensions (in)'!B29*2.5</f>
        <v>0</v>
      </c>
      <c r="C29" s="2">
        <f>'dimensions (in)'!C29*2.5</f>
        <v>0</v>
      </c>
      <c r="D29" s="2">
        <f>'dimensions (in)'!D29*2.5</f>
        <v>0</v>
      </c>
      <c r="E29" s="2">
        <f>'dimensions (in)'!E29*2.5</f>
        <v>0</v>
      </c>
      <c r="F29" s="2">
        <f>'dimensions (in)'!F29*2.5</f>
        <v>0</v>
      </c>
      <c r="G29" s="24">
        <f>'dimensions (in)'!G29*2.5</f>
        <v>41.25</v>
      </c>
      <c r="H29" s="24">
        <f>'dimensions (in)'!H29*2.5</f>
        <v>42.5</v>
      </c>
      <c r="I29" s="24">
        <f>'dimensions (in)'!I29*2.5</f>
        <v>42.5</v>
      </c>
      <c r="J29" s="24">
        <f>'dimensions (in)'!J29*2.5</f>
        <v>43.75</v>
      </c>
      <c r="K29" s="24">
        <f>'dimensions (in)'!K29*2.5</f>
        <v>45</v>
      </c>
      <c r="L29" s="24">
        <f>'dimensions (in)'!L29*2.5</f>
        <v>45</v>
      </c>
      <c r="M29" s="24">
        <f>'dimensions (in)'!M29*2.5</f>
        <v>46.25</v>
      </c>
      <c r="N29" s="7">
        <f>'dimensions (in)'!N29*2.5</f>
        <v>0</v>
      </c>
      <c r="O29" s="7">
        <f>'dimensions (in)'!O29*2.5</f>
        <v>0</v>
      </c>
      <c r="P29" s="7">
        <f>'dimensions (in)'!P29*2.5</f>
        <v>0</v>
      </c>
      <c r="Q29" s="7">
        <f>'dimensions (in)'!Q29*2.5</f>
        <v>0</v>
      </c>
      <c r="R29" s="7"/>
      <c r="S29" s="7"/>
    </row>
    <row r="30" spans="1:19" s="2" customFormat="1" x14ac:dyDescent="0.25">
      <c r="A30" s="1" t="s">
        <v>22</v>
      </c>
      <c r="B30" s="2">
        <f>'dimensions (in)'!B30*2.5</f>
        <v>10</v>
      </c>
      <c r="C30" s="2">
        <f>'dimensions (in)'!C30*2.5</f>
        <v>12.5</v>
      </c>
      <c r="D30" s="2">
        <f>'dimensions (in)'!D30*2.5</f>
        <v>12.5</v>
      </c>
      <c r="E30" s="2">
        <f>'dimensions (in)'!E30*2.5</f>
        <v>15</v>
      </c>
      <c r="F30" s="2">
        <f>'dimensions (in)'!F30*2.5</f>
        <v>15</v>
      </c>
      <c r="G30" s="24">
        <f>'dimensions (in)'!G30*2.5</f>
        <v>17.5</v>
      </c>
      <c r="H30" s="24">
        <f>'dimensions (in)'!H30*2.5</f>
        <v>17.5</v>
      </c>
      <c r="I30" s="24">
        <f>'dimensions (in)'!I30*2.5</f>
        <v>20</v>
      </c>
      <c r="J30" s="24">
        <f>'dimensions (in)'!J30*2.5</f>
        <v>20</v>
      </c>
      <c r="K30" s="24">
        <f>'dimensions (in)'!K30*2.5</f>
        <v>20</v>
      </c>
      <c r="L30" s="24">
        <f>'dimensions (in)'!L30*2.5</f>
        <v>22.5</v>
      </c>
      <c r="M30" s="24">
        <f>'dimensions (in)'!M30*2.5</f>
        <v>22.5</v>
      </c>
      <c r="N30" s="7">
        <f>'dimensions (in)'!N30*2.5</f>
        <v>0</v>
      </c>
      <c r="O30" s="7">
        <f>'dimensions (in)'!O30*2.5</f>
        <v>0</v>
      </c>
      <c r="P30" s="7">
        <f>'dimensions (in)'!P30*2.5</f>
        <v>0</v>
      </c>
      <c r="Q30" s="7">
        <f>'dimensions (in)'!Q30*2.5</f>
        <v>0</v>
      </c>
      <c r="R30" s="7"/>
      <c r="S30" s="7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opLeftCell="A11" workbookViewId="0">
      <selection activeCell="B23" sqref="B23"/>
    </sheetView>
  </sheetViews>
  <sheetFormatPr defaultRowHeight="15" x14ac:dyDescent="0.25"/>
  <cols>
    <col min="1" max="1" width="31.5703125" style="1" customWidth="1"/>
    <col min="2" max="6" width="9.140625" style="2" customWidth="1"/>
    <col min="7" max="13" width="9.140625" style="26"/>
  </cols>
  <sheetData>
    <row r="1" spans="1:19" s="17" customFormat="1" ht="15.75" thickBot="1" x14ac:dyDescent="0.3">
      <c r="A1" s="16" t="s">
        <v>0</v>
      </c>
      <c r="B1" s="34" t="s">
        <v>95</v>
      </c>
      <c r="C1" s="34" t="s">
        <v>96</v>
      </c>
      <c r="D1" s="17" t="s">
        <v>97</v>
      </c>
      <c r="E1" s="35" t="s">
        <v>98</v>
      </c>
      <c r="F1" s="34" t="s">
        <v>99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17" t="s">
        <v>91</v>
      </c>
      <c r="O1" s="17" t="s">
        <v>92</v>
      </c>
      <c r="P1" s="17" t="s">
        <v>93</v>
      </c>
      <c r="Q1" s="17" t="s">
        <v>94</v>
      </c>
    </row>
    <row r="2" spans="1:19" s="11" customFormat="1" x14ac:dyDescent="0.25">
      <c r="A2" s="10" t="s">
        <v>25</v>
      </c>
      <c r="B2" s="20"/>
      <c r="C2" s="20"/>
      <c r="D2" s="20"/>
      <c r="E2" s="20"/>
      <c r="F2" s="20"/>
      <c r="G2" s="11">
        <f t="shared" ref="G2:M2" si="0">SUM(G3:G5)</f>
        <v>806.56790123456778</v>
      </c>
      <c r="H2" s="11">
        <f t="shared" si="0"/>
        <v>990</v>
      </c>
      <c r="I2" s="11">
        <f t="shared" si="0"/>
        <v>1182.345679012346</v>
      </c>
      <c r="J2" s="11">
        <f t="shared" si="0"/>
        <v>1400.6049382716051</v>
      </c>
      <c r="K2" s="11">
        <f t="shared" si="0"/>
        <v>1644.7777777777776</v>
      </c>
      <c r="L2" s="11">
        <f t="shared" si="0"/>
        <v>1903.5308641975309</v>
      </c>
      <c r="M2" s="11">
        <f t="shared" si="0"/>
        <v>2176.8641975308642</v>
      </c>
    </row>
    <row r="3" spans="1:19" s="12" customFormat="1" x14ac:dyDescent="0.25">
      <c r="A3" s="29" t="s">
        <v>26</v>
      </c>
      <c r="B3" s="27"/>
      <c r="C3" s="27"/>
      <c r="D3" s="27"/>
      <c r="E3" s="27"/>
      <c r="F3" s="27"/>
      <c r="G3" s="24">
        <f>(G21/36)^2*820</f>
        <v>647.90123456790116</v>
      </c>
      <c r="H3" s="24">
        <v>820</v>
      </c>
      <c r="I3" s="24">
        <f>(I21/36)^2*820</f>
        <v>1012.3456790123458</v>
      </c>
      <c r="J3" s="24">
        <f>(J21/36)^2*820</f>
        <v>1224.9382716049383</v>
      </c>
      <c r="K3" s="24">
        <f>(K21/36)^2*820</f>
        <v>1457.7777777777776</v>
      </c>
      <c r="L3" s="24">
        <f>(L21/36)^2*820</f>
        <v>1710.8641975308642</v>
      </c>
      <c r="M3" s="24">
        <f>(M21/36)^2*820</f>
        <v>1984.1975308641977</v>
      </c>
      <c r="N3" s="7"/>
      <c r="O3" s="7"/>
      <c r="P3" s="7"/>
      <c r="Q3" s="7"/>
      <c r="R3" s="7"/>
      <c r="S3" s="7"/>
    </row>
    <row r="4" spans="1:19" s="12" customFormat="1" x14ac:dyDescent="0.25">
      <c r="A4" s="29" t="s">
        <v>27</v>
      </c>
      <c r="B4" s="27"/>
      <c r="C4" s="27"/>
      <c r="D4" s="27"/>
      <c r="E4" s="27"/>
      <c r="F4" s="27"/>
      <c r="G4" s="24">
        <f>90*(instructions!G8+instructions!G28)/(22+8)</f>
        <v>84</v>
      </c>
      <c r="H4" s="24">
        <v>90</v>
      </c>
      <c r="I4" s="24">
        <f>90*(instructions!I8+instructions!I28)/(22+8)</f>
        <v>90</v>
      </c>
      <c r="J4" s="24">
        <f>90*(instructions!J8+instructions!J28)/(22+8)</f>
        <v>93</v>
      </c>
      <c r="K4" s="24">
        <f>90*(instructions!K8+instructions!K28)/(22+8)</f>
        <v>99</v>
      </c>
      <c r="L4" s="24">
        <f>90*(instructions!L8+instructions!L28)/(22+8)</f>
        <v>102</v>
      </c>
      <c r="M4" s="24">
        <f>90*(instructions!M8+instructions!M28)/(22+8)</f>
        <v>102</v>
      </c>
      <c r="N4" s="7"/>
      <c r="O4" s="7"/>
      <c r="P4" s="7"/>
      <c r="Q4" s="7"/>
      <c r="R4" s="7"/>
      <c r="S4" s="7"/>
    </row>
    <row r="5" spans="1:19" s="13" customFormat="1" ht="15.75" thickBot="1" x14ac:dyDescent="0.3">
      <c r="A5" s="30" t="s">
        <v>28</v>
      </c>
      <c r="B5" s="28"/>
      <c r="C5" s="28"/>
      <c r="D5" s="28"/>
      <c r="E5" s="28"/>
      <c r="F5" s="28"/>
      <c r="G5" s="25">
        <f>80*(instructions!G8+instructions!G28)/(22+8)</f>
        <v>74.666666666666671</v>
      </c>
      <c r="H5" s="25">
        <v>80</v>
      </c>
      <c r="I5" s="25">
        <f>80*(instructions!I8+instructions!I28)/(22+8)</f>
        <v>80</v>
      </c>
      <c r="J5" s="25">
        <f>80*(instructions!J8+instructions!J28)/(22+8)</f>
        <v>82.666666666666671</v>
      </c>
      <c r="K5" s="25">
        <f>80*(instructions!K8+instructions!K28)/(22+8)</f>
        <v>88</v>
      </c>
      <c r="L5" s="25">
        <f>80*(instructions!L8+instructions!L28)/(22+8)</f>
        <v>90.666666666666671</v>
      </c>
      <c r="M5" s="25">
        <f>80*(instructions!M8+instructions!M28)/(22+8)</f>
        <v>90.666666666666671</v>
      </c>
      <c r="N5" s="18"/>
      <c r="O5" s="18"/>
      <c r="P5" s="18"/>
      <c r="Q5" s="18"/>
      <c r="R5" s="18"/>
      <c r="S5" s="18"/>
    </row>
    <row r="6" spans="1:19" s="9" customFormat="1" x14ac:dyDescent="0.25">
      <c r="A6" s="8" t="s">
        <v>48</v>
      </c>
      <c r="B6" s="21"/>
      <c r="C6" s="21"/>
      <c r="D6" s="21"/>
      <c r="E6" s="21"/>
      <c r="F6" s="21"/>
    </row>
    <row r="7" spans="1:19" s="2" customFormat="1" x14ac:dyDescent="0.25">
      <c r="A7" s="1" t="s">
        <v>19</v>
      </c>
      <c r="B7" s="2">
        <v>18</v>
      </c>
      <c r="C7" s="2">
        <v>20</v>
      </c>
      <c r="D7" s="2">
        <v>22</v>
      </c>
      <c r="E7" s="2">
        <v>24</v>
      </c>
      <c r="F7" s="2">
        <v>28</v>
      </c>
      <c r="G7" s="24">
        <v>32</v>
      </c>
      <c r="H7" s="24">
        <v>36</v>
      </c>
      <c r="I7" s="24">
        <v>40</v>
      </c>
      <c r="J7" s="24">
        <v>44</v>
      </c>
      <c r="K7" s="24">
        <v>48</v>
      </c>
      <c r="L7" s="24">
        <v>52</v>
      </c>
      <c r="M7" s="24">
        <v>56</v>
      </c>
      <c r="N7" s="7">
        <v>60</v>
      </c>
      <c r="O7" s="7">
        <v>64</v>
      </c>
      <c r="P7" s="7">
        <v>68</v>
      </c>
      <c r="Q7" s="7">
        <v>72</v>
      </c>
      <c r="R7" s="7"/>
      <c r="S7" s="7"/>
    </row>
    <row r="8" spans="1:19" s="33" customFormat="1" x14ac:dyDescent="0.25">
      <c r="A8" s="32" t="s">
        <v>50</v>
      </c>
      <c r="B8" s="33">
        <v>10</v>
      </c>
      <c r="C8" s="33">
        <v>11</v>
      </c>
      <c r="D8" s="33">
        <v>11</v>
      </c>
      <c r="E8" s="33">
        <v>12</v>
      </c>
      <c r="F8" s="33">
        <v>12</v>
      </c>
      <c r="G8" s="33">
        <v>13</v>
      </c>
      <c r="H8" s="33">
        <v>14</v>
      </c>
      <c r="I8" s="33">
        <v>15</v>
      </c>
      <c r="J8" s="33">
        <v>16</v>
      </c>
      <c r="K8" s="33">
        <v>17</v>
      </c>
      <c r="L8" s="33">
        <v>18</v>
      </c>
      <c r="M8" s="33">
        <v>19</v>
      </c>
      <c r="N8" s="33">
        <v>20</v>
      </c>
      <c r="O8" s="33">
        <v>21</v>
      </c>
      <c r="P8" s="33">
        <v>22</v>
      </c>
      <c r="Q8" s="33">
        <v>23</v>
      </c>
    </row>
    <row r="9" spans="1:19" s="33" customFormat="1" x14ac:dyDescent="0.25">
      <c r="A9" s="32" t="s">
        <v>59</v>
      </c>
      <c r="B9" s="33">
        <v>14</v>
      </c>
      <c r="C9" s="33">
        <v>16</v>
      </c>
      <c r="D9" s="33">
        <v>20</v>
      </c>
      <c r="E9" s="33">
        <v>20</v>
      </c>
      <c r="F9" s="33">
        <v>20</v>
      </c>
      <c r="G9" s="33">
        <v>20</v>
      </c>
      <c r="H9" s="33">
        <v>21</v>
      </c>
      <c r="I9" s="33">
        <v>21</v>
      </c>
      <c r="J9" s="33">
        <v>21</v>
      </c>
      <c r="K9" s="33">
        <v>22</v>
      </c>
      <c r="L9" s="33">
        <v>22</v>
      </c>
      <c r="M9" s="33">
        <v>22</v>
      </c>
      <c r="N9" s="33">
        <v>22</v>
      </c>
      <c r="O9" s="33">
        <v>23</v>
      </c>
      <c r="P9" s="33">
        <v>23</v>
      </c>
      <c r="Q9" s="33">
        <v>23</v>
      </c>
    </row>
    <row r="10" spans="1:19" s="33" customFormat="1" x14ac:dyDescent="0.25">
      <c r="A10" s="32" t="s">
        <v>39</v>
      </c>
      <c r="B10" s="33">
        <v>3.5</v>
      </c>
      <c r="C10" s="33">
        <v>3.75</v>
      </c>
      <c r="D10" s="33">
        <v>4.25</v>
      </c>
      <c r="E10" s="33">
        <v>4.75</v>
      </c>
      <c r="F10" s="33">
        <v>5.25</v>
      </c>
      <c r="G10" s="33">
        <v>5.5</v>
      </c>
      <c r="H10" s="33">
        <v>5.83</v>
      </c>
      <c r="I10" s="33">
        <v>6.15</v>
      </c>
      <c r="J10" s="33">
        <v>6.48</v>
      </c>
      <c r="K10" s="33">
        <v>6.8</v>
      </c>
      <c r="L10" s="33">
        <v>7.13</v>
      </c>
      <c r="M10" s="33">
        <v>7.45</v>
      </c>
      <c r="N10" s="33">
        <v>7.78</v>
      </c>
      <c r="O10" s="33">
        <f>N10+0.33</f>
        <v>8.11</v>
      </c>
      <c r="P10" s="33">
        <f>O10+0.33</f>
        <v>8.44</v>
      </c>
      <c r="Q10" s="33">
        <f>P10+0.33</f>
        <v>8.77</v>
      </c>
    </row>
    <row r="11" spans="1:19" s="33" customFormat="1" x14ac:dyDescent="0.25">
      <c r="A11" s="32" t="s">
        <v>38</v>
      </c>
      <c r="B11" s="33">
        <v>8</v>
      </c>
      <c r="C11" s="33">
        <v>9</v>
      </c>
      <c r="D11" s="33">
        <v>10</v>
      </c>
      <c r="E11" s="33">
        <v>11.5</v>
      </c>
      <c r="F11" s="33">
        <v>13</v>
      </c>
      <c r="G11" s="33">
        <v>14.25</v>
      </c>
      <c r="H11" s="33">
        <v>14.75</v>
      </c>
      <c r="I11" s="33">
        <v>15.25</v>
      </c>
      <c r="J11" s="33">
        <v>15.75</v>
      </c>
      <c r="K11" s="33">
        <v>16.25</v>
      </c>
      <c r="L11" s="33">
        <v>16.75</v>
      </c>
      <c r="M11" s="33">
        <v>17.25</v>
      </c>
      <c r="N11" s="33">
        <v>17.75</v>
      </c>
      <c r="O11" s="33">
        <f>N11+0.5</f>
        <v>18.25</v>
      </c>
      <c r="P11" s="33">
        <f>O11+0.5</f>
        <v>18.75</v>
      </c>
      <c r="Q11" s="33">
        <f>P11+0.5</f>
        <v>19.25</v>
      </c>
    </row>
    <row r="12" spans="1:19" s="33" customFormat="1" x14ac:dyDescent="0.25">
      <c r="A12" s="32" t="s">
        <v>52</v>
      </c>
      <c r="B12" s="33">
        <f>C12-0.06</f>
        <v>4.2700000000000014</v>
      </c>
      <c r="C12" s="33">
        <f>D12-0.06</f>
        <v>4.330000000000001</v>
      </c>
      <c r="D12" s="33">
        <f>E12-0.06</f>
        <v>4.3900000000000006</v>
      </c>
      <c r="E12" s="33">
        <f>F12-0.12</f>
        <v>4.45</v>
      </c>
      <c r="F12" s="33">
        <f>G12-0.12</f>
        <v>4.57</v>
      </c>
      <c r="G12" s="33">
        <v>4.6900000000000004</v>
      </c>
      <c r="H12" s="33">
        <v>4.8099999999999996</v>
      </c>
      <c r="I12" s="33">
        <v>4.9400000000000004</v>
      </c>
      <c r="J12" s="33">
        <v>5.0599999999999996</v>
      </c>
      <c r="K12" s="33">
        <v>5.19</v>
      </c>
      <c r="L12" s="33">
        <v>5.31</v>
      </c>
      <c r="M12" s="33">
        <v>5.44</v>
      </c>
      <c r="N12" s="33">
        <v>5.56</v>
      </c>
      <c r="O12" s="33">
        <f>N12+0.12</f>
        <v>5.68</v>
      </c>
      <c r="P12" s="33">
        <f>O12+0.12</f>
        <v>5.8</v>
      </c>
      <c r="Q12" s="33">
        <f>P12+0.12</f>
        <v>5.92</v>
      </c>
    </row>
    <row r="13" spans="1:19" s="33" customFormat="1" x14ac:dyDescent="0.25">
      <c r="A13" s="32" t="s">
        <v>53</v>
      </c>
      <c r="B13" s="33">
        <v>5.5</v>
      </c>
      <c r="C13" s="33">
        <v>6</v>
      </c>
      <c r="D13" s="33">
        <v>6.5</v>
      </c>
      <c r="E13" s="33">
        <v>7.5</v>
      </c>
      <c r="F13" s="33">
        <v>8.5</v>
      </c>
      <c r="G13" s="33">
        <v>9.5</v>
      </c>
      <c r="H13" s="33">
        <v>10.5</v>
      </c>
      <c r="I13" s="33">
        <v>11.5</v>
      </c>
      <c r="J13" s="33">
        <v>12.5</v>
      </c>
      <c r="K13" s="33">
        <v>13.5</v>
      </c>
      <c r="L13" s="33">
        <v>15</v>
      </c>
      <c r="M13" s="33">
        <v>16.5</v>
      </c>
      <c r="N13" s="33">
        <v>18</v>
      </c>
      <c r="O13" s="33">
        <f>N13+1.5</f>
        <v>19.5</v>
      </c>
      <c r="P13" s="33">
        <f>O13+1.5</f>
        <v>21</v>
      </c>
      <c r="Q13" s="33">
        <f>P13+1.5</f>
        <v>22.5</v>
      </c>
    </row>
    <row r="14" spans="1:19" s="33" customFormat="1" x14ac:dyDescent="0.25">
      <c r="A14" s="32" t="s">
        <v>67</v>
      </c>
      <c r="B14" s="33">
        <v>6.5</v>
      </c>
      <c r="C14" s="33">
        <v>7.5</v>
      </c>
      <c r="D14" s="33">
        <v>8.5</v>
      </c>
      <c r="E14" s="33">
        <v>11</v>
      </c>
      <c r="F14" s="33">
        <v>14.5</v>
      </c>
      <c r="G14" s="33">
        <v>16.5</v>
      </c>
      <c r="H14" s="33">
        <v>17</v>
      </c>
      <c r="I14" s="33">
        <v>17</v>
      </c>
      <c r="J14" s="33">
        <v>17.5</v>
      </c>
      <c r="K14" s="33">
        <v>17.5</v>
      </c>
      <c r="L14" s="33">
        <v>18</v>
      </c>
      <c r="M14" s="33">
        <v>18</v>
      </c>
      <c r="N14" s="33">
        <v>18.5</v>
      </c>
      <c r="O14" s="33">
        <v>18.5</v>
      </c>
      <c r="P14" s="33">
        <v>19</v>
      </c>
      <c r="Q14" s="33">
        <v>19</v>
      </c>
    </row>
    <row r="15" spans="1:19" s="33" customFormat="1" x14ac:dyDescent="0.25">
      <c r="A15" s="32" t="s">
        <v>51</v>
      </c>
      <c r="B15" s="33">
        <f>C15-1.31</f>
        <v>27.080000000000005</v>
      </c>
      <c r="C15" s="33">
        <f>D15-1.31</f>
        <v>28.390000000000004</v>
      </c>
      <c r="D15" s="33">
        <f>E15-1.31</f>
        <v>29.700000000000003</v>
      </c>
      <c r="E15" s="33">
        <f>F15-2.62</f>
        <v>31.01</v>
      </c>
      <c r="F15" s="33">
        <f>G15-2.62</f>
        <v>33.630000000000003</v>
      </c>
      <c r="G15" s="33">
        <v>36.25</v>
      </c>
      <c r="H15" s="33">
        <v>38.880000000000003</v>
      </c>
      <c r="I15" s="33">
        <v>41.5</v>
      </c>
      <c r="J15" s="33">
        <v>44.13</v>
      </c>
      <c r="K15" s="33">
        <v>46.75</v>
      </c>
      <c r="L15" s="33">
        <v>49.38</v>
      </c>
      <c r="M15" s="33">
        <v>52</v>
      </c>
      <c r="N15" s="33">
        <v>54.63</v>
      </c>
      <c r="O15" s="33">
        <f>N15+2.62</f>
        <v>57.25</v>
      </c>
      <c r="P15" s="33">
        <f>O15+2.62</f>
        <v>59.87</v>
      </c>
      <c r="Q15" s="33">
        <f>P15+2.62</f>
        <v>62.489999999999995</v>
      </c>
    </row>
    <row r="16" spans="1:19" s="2" customFormat="1" x14ac:dyDescent="0.25">
      <c r="A16" s="1" t="s">
        <v>47</v>
      </c>
      <c r="B16" s="7">
        <f t="shared" ref="B16" si="1">SQRT(B10^2+(B11/2)^2)</f>
        <v>5.315072906367325</v>
      </c>
      <c r="C16" s="7">
        <f t="shared" ref="C16" si="2">SQRT(C10^2+(C11/2)^2)</f>
        <v>5.8576872569299905</v>
      </c>
      <c r="D16" s="7">
        <f t="shared" ref="D16" si="3">SQRT(D10^2+(D11/2)^2)</f>
        <v>6.562202374203344</v>
      </c>
      <c r="E16" s="7">
        <f t="shared" ref="E16" si="4">SQRT(E10^2+(E11/2)^2)</f>
        <v>7.4582169450881493</v>
      </c>
      <c r="F16" s="7">
        <f>SQRT(F10^2+(F11/2)^2)</f>
        <v>8.3553874835342015</v>
      </c>
      <c r="G16" s="24">
        <f t="shared" ref="G16:L16" si="5">SQRT(G10^2+(G11/2)^2)</f>
        <v>9.000868013697346</v>
      </c>
      <c r="H16" s="24">
        <f t="shared" si="5"/>
        <v>9.4010385064629958</v>
      </c>
      <c r="I16" s="24">
        <f t="shared" si="5"/>
        <v>9.7960770209303689</v>
      </c>
      <c r="J16" s="24">
        <f t="shared" si="5"/>
        <v>10.198334422835918</v>
      </c>
      <c r="K16" s="24">
        <f t="shared" si="5"/>
        <v>10.595075507045713</v>
      </c>
      <c r="L16" s="24">
        <f t="shared" si="5"/>
        <v>10.998978361647959</v>
      </c>
      <c r="M16" s="24">
        <f>SQRT(M10^2+(M11/2)^2)</f>
        <v>11.397066508536309</v>
      </c>
      <c r="N16" s="7">
        <f>SQRT(N10^2+(N11/2)^2)</f>
        <v>11.802288972906908</v>
      </c>
      <c r="O16" s="7">
        <f>SQRT(O10^2+(O11/2)^2)</f>
        <v>12.208100794144846</v>
      </c>
      <c r="P16" s="7">
        <f>SQRT(P10^2+(P11/2)^2)</f>
        <v>12.614445092829094</v>
      </c>
      <c r="Q16" s="7">
        <f>SQRT(Q10^2+(Q11/2)^2)</f>
        <v>13.021272019276765</v>
      </c>
      <c r="R16" s="7"/>
      <c r="S16" s="7"/>
    </row>
    <row r="17" spans="1:19" s="2" customFormat="1" x14ac:dyDescent="0.25">
      <c r="A17" s="1" t="s">
        <v>60</v>
      </c>
      <c r="B17" s="7">
        <f>B15+2*B13+2</f>
        <v>40.080000000000005</v>
      </c>
      <c r="C17" s="7">
        <f>C15+2*C13+2</f>
        <v>42.39</v>
      </c>
      <c r="D17" s="7">
        <f>D15+2*D13+2</f>
        <v>44.7</v>
      </c>
      <c r="E17" s="7">
        <f>E15+2*E13+2</f>
        <v>48.010000000000005</v>
      </c>
      <c r="F17" s="7">
        <f>F15+2*F13+2</f>
        <v>52.63</v>
      </c>
      <c r="G17" s="24">
        <f>G15+2*G13</f>
        <v>55.25</v>
      </c>
      <c r="H17" s="24">
        <f t="shared" ref="H17:M17" si="6">H15+2*H13</f>
        <v>59.88</v>
      </c>
      <c r="I17" s="24">
        <f t="shared" si="6"/>
        <v>64.5</v>
      </c>
      <c r="J17" s="24">
        <f t="shared" si="6"/>
        <v>69.13</v>
      </c>
      <c r="K17" s="24">
        <f>K15+2*K13</f>
        <v>73.75</v>
      </c>
      <c r="L17" s="24">
        <f t="shared" si="6"/>
        <v>79.38</v>
      </c>
      <c r="M17" s="24">
        <f t="shared" si="6"/>
        <v>85</v>
      </c>
      <c r="N17" s="7">
        <f>N15+2*N13</f>
        <v>90.63</v>
      </c>
      <c r="O17" s="7">
        <f>O15+2*O13</f>
        <v>96.25</v>
      </c>
      <c r="P17" s="7">
        <f>P15+2*P13</f>
        <v>101.87</v>
      </c>
      <c r="Q17" s="7">
        <f>Q15+2*Q13</f>
        <v>107.49</v>
      </c>
      <c r="R17" s="7"/>
      <c r="S17" s="7"/>
    </row>
    <row r="18" spans="1:19" s="2" customFormat="1" x14ac:dyDescent="0.25">
      <c r="A18" s="1" t="s">
        <v>37</v>
      </c>
      <c r="B18" s="2">
        <f>(B16)*2*PI()</f>
        <v>33.39558799187548</v>
      </c>
      <c r="C18" s="2">
        <f>(C16)*2*PI()</f>
        <v>36.804934506795611</v>
      </c>
      <c r="D18" s="2">
        <f>(D16)*2*PI()</f>
        <v>41.231533540333444</v>
      </c>
      <c r="E18" s="2">
        <f>(E16)*2*PI()</f>
        <v>46.861359127135678</v>
      </c>
      <c r="F18" s="2">
        <f>(F16)*2*PI()</f>
        <v>52.49844787233431</v>
      </c>
      <c r="G18" s="24">
        <f>instructions!G16/6</f>
        <v>53.333333333333336</v>
      </c>
      <c r="H18" s="24">
        <v>58</v>
      </c>
      <c r="I18" s="24">
        <f>instructions!I16/6</f>
        <v>62.333333333333336</v>
      </c>
      <c r="J18" s="24">
        <f>instructions!J16/6</f>
        <v>69.666666666666671</v>
      </c>
      <c r="K18" s="24">
        <f>instructions!K16/6</f>
        <v>76</v>
      </c>
      <c r="L18" s="24">
        <f>instructions!L16/6</f>
        <v>84</v>
      </c>
      <c r="M18" s="24">
        <f>instructions!M16/6</f>
        <v>88</v>
      </c>
      <c r="N18" s="7">
        <f>2*PI()*N24</f>
        <v>97.766363379714363</v>
      </c>
      <c r="O18" s="7">
        <f>2*PI()*O24</f>
        <v>101.91326568245289</v>
      </c>
      <c r="P18" s="7">
        <f>2*PI()*P24</f>
        <v>106.06016798519141</v>
      </c>
      <c r="Q18" s="7">
        <f>2*PI()*Q24</f>
        <v>110.20707028792994</v>
      </c>
      <c r="R18" s="7"/>
      <c r="S18" s="7"/>
    </row>
    <row r="19" spans="1:19" s="4" customFormat="1" ht="15.75" thickBot="1" x14ac:dyDescent="0.3">
      <c r="A19" s="3"/>
      <c r="G19" s="25"/>
      <c r="H19" s="25"/>
      <c r="I19" s="25"/>
      <c r="J19" s="25"/>
      <c r="K19" s="25"/>
      <c r="L19" s="25"/>
      <c r="M19" s="25"/>
      <c r="N19" s="18"/>
      <c r="O19" s="18"/>
      <c r="P19" s="18"/>
      <c r="Q19" s="18"/>
      <c r="R19" s="18"/>
      <c r="S19" s="18"/>
    </row>
    <row r="20" spans="1:19" s="15" customFormat="1" x14ac:dyDescent="0.25">
      <c r="A20" s="8" t="s">
        <v>49</v>
      </c>
      <c r="B20" s="21"/>
      <c r="C20" s="9"/>
      <c r="D20" s="9"/>
      <c r="E20" s="9"/>
      <c r="F20" s="9"/>
    </row>
    <row r="21" spans="1:19" s="2" customFormat="1" x14ac:dyDescent="0.25">
      <c r="A21" s="1" t="s">
        <v>19</v>
      </c>
      <c r="B21" s="2">
        <v>18</v>
      </c>
      <c r="C21" s="2">
        <v>20</v>
      </c>
      <c r="D21" s="2">
        <v>22</v>
      </c>
      <c r="E21" s="2">
        <v>24</v>
      </c>
      <c r="F21" s="2">
        <v>28</v>
      </c>
      <c r="G21" s="24">
        <v>32</v>
      </c>
      <c r="H21" s="24">
        <v>36</v>
      </c>
      <c r="I21" s="24">
        <v>40</v>
      </c>
      <c r="J21" s="24">
        <v>44</v>
      </c>
      <c r="K21" s="24">
        <v>48</v>
      </c>
      <c r="L21" s="24">
        <v>52</v>
      </c>
      <c r="M21" s="24">
        <v>56</v>
      </c>
      <c r="N21" s="7">
        <v>60</v>
      </c>
      <c r="O21" s="7">
        <v>64</v>
      </c>
      <c r="P21" s="7">
        <v>68</v>
      </c>
      <c r="Q21" s="7">
        <v>72</v>
      </c>
      <c r="R21" s="7"/>
      <c r="S21" s="7"/>
    </row>
    <row r="22" spans="1:19" s="2" customFormat="1" x14ac:dyDescent="0.25">
      <c r="A22" s="1" t="s">
        <v>36</v>
      </c>
      <c r="B22" s="2">
        <v>14</v>
      </c>
      <c r="C22" s="2">
        <v>16</v>
      </c>
      <c r="D22" s="2">
        <v>18</v>
      </c>
      <c r="E22" s="2">
        <v>20</v>
      </c>
      <c r="F22" s="2">
        <v>20</v>
      </c>
      <c r="G22" s="24">
        <v>20</v>
      </c>
      <c r="H22" s="24">
        <v>21</v>
      </c>
      <c r="I22" s="24">
        <v>21</v>
      </c>
      <c r="J22" s="24">
        <v>21</v>
      </c>
      <c r="K22" s="24">
        <v>22</v>
      </c>
      <c r="L22" s="24">
        <v>22</v>
      </c>
      <c r="M22" s="24">
        <v>22</v>
      </c>
      <c r="N22" s="7">
        <v>22</v>
      </c>
      <c r="O22" s="7">
        <v>23</v>
      </c>
      <c r="P22" s="7">
        <v>23</v>
      </c>
      <c r="Q22" s="7">
        <v>23</v>
      </c>
      <c r="R22" s="7"/>
      <c r="S22" s="7"/>
    </row>
    <row r="23" spans="1:19" s="2" customFormat="1" x14ac:dyDescent="0.25">
      <c r="A23" s="1" t="s">
        <v>32</v>
      </c>
      <c r="B23" s="2">
        <f>(instructions!B5*2 + 2 + 30)/8</f>
        <v>5</v>
      </c>
      <c r="C23" s="2">
        <f>(instructions!C5*2 + instructions!C6/3 + 30)/8</f>
        <v>4.75</v>
      </c>
      <c r="D23" s="2">
        <f>(instructions!D5*2 + instructions!D6/3 + 30)/8</f>
        <v>4.75</v>
      </c>
      <c r="E23" s="2">
        <f>(instructions!E5*2 + instructions!E6/3 + 30)/8</f>
        <v>5.25</v>
      </c>
      <c r="F23" s="2">
        <f>(instructions!F5*2 + instructions!F6/3 + 30)/8</f>
        <v>5.25</v>
      </c>
      <c r="G23" s="24">
        <f>(instructions!G5*2 + instructions!G6/3 + 30)/8</f>
        <v>5.25</v>
      </c>
      <c r="H23" s="24">
        <f>(instructions!H5*2 + instructions!H6/3 + 30)/8</f>
        <v>5.5</v>
      </c>
      <c r="I23" s="24">
        <f>(instructions!I5*2 + instructions!I6/3 + 30)/8</f>
        <v>5.5</v>
      </c>
      <c r="J23" s="24">
        <f>(instructions!J5*2 + instructions!J6/3 + 30)/8</f>
        <v>6</v>
      </c>
      <c r="K23" s="24">
        <f>(instructions!K5*2 + instructions!K6/3 + 30)/8</f>
        <v>6.25</v>
      </c>
      <c r="L23" s="24">
        <f>(instructions!L5*2 + instructions!L6/3 + 30)/8</f>
        <v>6.75</v>
      </c>
      <c r="M23" s="24">
        <f>(instructions!M5*2 + instructions!M6/3 + 30)/8</f>
        <v>6.75</v>
      </c>
      <c r="N23" s="7"/>
      <c r="O23" s="7"/>
      <c r="P23" s="7"/>
      <c r="Q23" s="7"/>
      <c r="R23" s="7"/>
      <c r="S23" s="7"/>
    </row>
    <row r="24" spans="1:19" s="2" customFormat="1" x14ac:dyDescent="0.25">
      <c r="A24" s="1" t="s">
        <v>18</v>
      </c>
      <c r="B24" s="2">
        <f>1.7*B10</f>
        <v>5.95</v>
      </c>
      <c r="C24" s="2">
        <f>1.7*C10</f>
        <v>6.375</v>
      </c>
      <c r="D24" s="2">
        <f>1.7*D10</f>
        <v>7.2249999999999996</v>
      </c>
      <c r="E24" s="2">
        <f>1.7*E10</f>
        <v>8.0749999999999993</v>
      </c>
      <c r="F24" s="2">
        <f>1.7*F10</f>
        <v>8.9249999999999989</v>
      </c>
      <c r="G24" s="24">
        <v>9.5</v>
      </c>
      <c r="H24" s="24">
        <v>10</v>
      </c>
      <c r="I24" s="24">
        <v>10.5</v>
      </c>
      <c r="J24" s="24">
        <v>11</v>
      </c>
      <c r="K24" s="24">
        <v>12</v>
      </c>
      <c r="L24" s="24">
        <v>13.5</v>
      </c>
      <c r="M24" s="24">
        <v>15</v>
      </c>
      <c r="N24" s="2">
        <f>2*N10</f>
        <v>15.56</v>
      </c>
      <c r="O24" s="2">
        <f>2*O10</f>
        <v>16.22</v>
      </c>
      <c r="P24" s="2">
        <f>2*P10</f>
        <v>16.88</v>
      </c>
      <c r="Q24" s="2">
        <f>2*Q10</f>
        <v>17.54</v>
      </c>
      <c r="R24" s="7"/>
      <c r="S24" s="7"/>
    </row>
    <row r="25" spans="1:19" s="2" customFormat="1" x14ac:dyDescent="0.25">
      <c r="A25" s="1" t="s">
        <v>21</v>
      </c>
      <c r="B25" s="2">
        <f>C25-0.6</f>
        <v>5.6000000000000023</v>
      </c>
      <c r="C25" s="2">
        <f>D25-0.6</f>
        <v>6.200000000000002</v>
      </c>
      <c r="D25" s="2">
        <f>E25-0.6</f>
        <v>6.8000000000000016</v>
      </c>
      <c r="E25" s="2">
        <f>F25-1.2</f>
        <v>7.4000000000000012</v>
      </c>
      <c r="F25" s="2">
        <f>G25-1.2</f>
        <v>8.6000000000000014</v>
      </c>
      <c r="G25" s="24">
        <f>H25-1.2</f>
        <v>9.8000000000000007</v>
      </c>
      <c r="H25" s="24">
        <v>11</v>
      </c>
      <c r="I25" s="24">
        <f>I21/36*H25</f>
        <v>12.222222222222223</v>
      </c>
      <c r="J25" s="24">
        <f>J21/36*H25</f>
        <v>13.444444444444446</v>
      </c>
      <c r="K25" s="24">
        <f>K21/36*H25</f>
        <v>14.666666666666666</v>
      </c>
      <c r="L25" s="24">
        <f>L21/36*H25</f>
        <v>15.888888888888889</v>
      </c>
      <c r="M25" s="24">
        <f>M21/36*H25</f>
        <v>17.111111111111111</v>
      </c>
      <c r="N25" s="7"/>
      <c r="O25" s="7"/>
      <c r="P25" s="7"/>
      <c r="Q25" s="7"/>
      <c r="R25" s="7"/>
      <c r="S25" s="7"/>
    </row>
    <row r="26" spans="1:19" s="2" customFormat="1" x14ac:dyDescent="0.25">
      <c r="A26" s="1" t="s">
        <v>20</v>
      </c>
      <c r="B26" s="2">
        <v>7</v>
      </c>
      <c r="C26" s="2">
        <v>8</v>
      </c>
      <c r="D26" s="2">
        <v>9</v>
      </c>
      <c r="E26" s="2">
        <v>10.5</v>
      </c>
      <c r="F26" s="2">
        <v>12</v>
      </c>
      <c r="G26" s="24">
        <v>13</v>
      </c>
      <c r="H26" s="24">
        <v>13.5</v>
      </c>
      <c r="I26" s="24">
        <v>14</v>
      </c>
      <c r="J26" s="24">
        <v>15</v>
      </c>
      <c r="K26" s="24">
        <v>16.5</v>
      </c>
      <c r="L26" s="24">
        <v>18.5</v>
      </c>
      <c r="M26" s="24">
        <v>20</v>
      </c>
      <c r="N26" s="7">
        <v>22</v>
      </c>
      <c r="O26" s="7">
        <v>24</v>
      </c>
      <c r="P26" s="7">
        <v>24</v>
      </c>
      <c r="Q26" s="7">
        <v>26</v>
      </c>
      <c r="R26" s="7"/>
      <c r="S26" s="7"/>
    </row>
    <row r="27" spans="1:19" s="2" customFormat="1" x14ac:dyDescent="0.25">
      <c r="A27" s="1" t="s">
        <v>62</v>
      </c>
      <c r="B27" s="2">
        <v>8</v>
      </c>
      <c r="C27" s="2">
        <v>9</v>
      </c>
      <c r="D27" s="2">
        <v>10.5</v>
      </c>
      <c r="E27" s="2">
        <v>13</v>
      </c>
      <c r="F27" s="2">
        <v>16.5</v>
      </c>
      <c r="G27" s="24">
        <v>18.5</v>
      </c>
      <c r="H27" s="24">
        <v>19</v>
      </c>
      <c r="I27" s="24">
        <v>19.5</v>
      </c>
      <c r="J27" s="24">
        <v>20</v>
      </c>
      <c r="K27" s="24">
        <v>20.5</v>
      </c>
      <c r="L27" s="24">
        <v>21</v>
      </c>
      <c r="M27" s="24">
        <v>21.5</v>
      </c>
      <c r="N27" s="7"/>
      <c r="O27" s="7"/>
      <c r="P27" s="7"/>
      <c r="Q27" s="7"/>
      <c r="R27" s="7"/>
      <c r="S27" s="7"/>
    </row>
    <row r="28" spans="1:19" s="2" customFormat="1" x14ac:dyDescent="0.25">
      <c r="A28" s="1" t="s">
        <v>61</v>
      </c>
      <c r="G28" s="24">
        <v>2</v>
      </c>
      <c r="H28" s="24">
        <v>2</v>
      </c>
      <c r="I28" s="24">
        <v>2.5</v>
      </c>
      <c r="J28" s="24">
        <v>2.5</v>
      </c>
      <c r="K28" s="24">
        <v>2.5</v>
      </c>
      <c r="L28" s="24">
        <v>3</v>
      </c>
      <c r="M28" s="24">
        <v>3</v>
      </c>
      <c r="N28" s="7"/>
      <c r="O28" s="7"/>
      <c r="P28" s="7"/>
      <c r="Q28" s="7"/>
      <c r="R28" s="7"/>
      <c r="S28" s="7"/>
    </row>
    <row r="29" spans="1:19" s="2" customFormat="1" x14ac:dyDescent="0.25">
      <c r="A29" s="1" t="s">
        <v>35</v>
      </c>
      <c r="G29" s="24">
        <f t="shared" ref="G29:M29" si="7">G27-G28</f>
        <v>16.5</v>
      </c>
      <c r="H29" s="24">
        <f t="shared" si="7"/>
        <v>17</v>
      </c>
      <c r="I29" s="24">
        <f t="shared" si="7"/>
        <v>17</v>
      </c>
      <c r="J29" s="24">
        <f t="shared" si="7"/>
        <v>17.5</v>
      </c>
      <c r="K29" s="24">
        <f t="shared" si="7"/>
        <v>18</v>
      </c>
      <c r="L29" s="24">
        <f t="shared" si="7"/>
        <v>18</v>
      </c>
      <c r="M29" s="24">
        <f t="shared" si="7"/>
        <v>18.5</v>
      </c>
      <c r="N29" s="7"/>
      <c r="O29" s="7"/>
      <c r="P29" s="7"/>
      <c r="Q29" s="7"/>
      <c r="R29" s="7"/>
      <c r="S29" s="7"/>
    </row>
    <row r="30" spans="1:19" s="2" customFormat="1" x14ac:dyDescent="0.25">
      <c r="A30" s="1" t="s">
        <v>101</v>
      </c>
      <c r="B30" s="2">
        <v>4</v>
      </c>
      <c r="C30" s="2">
        <v>5</v>
      </c>
      <c r="D30" s="2">
        <v>5</v>
      </c>
      <c r="E30" s="7">
        <v>6</v>
      </c>
      <c r="F30" s="2">
        <v>6</v>
      </c>
      <c r="G30" s="24">
        <v>7</v>
      </c>
      <c r="H30" s="24">
        <v>7</v>
      </c>
      <c r="I30" s="24">
        <v>8</v>
      </c>
      <c r="J30" s="24">
        <v>8</v>
      </c>
      <c r="K30" s="24">
        <v>8</v>
      </c>
      <c r="L30" s="24">
        <v>9</v>
      </c>
      <c r="M30" s="24">
        <v>9</v>
      </c>
      <c r="N30" s="7"/>
      <c r="O30" s="7"/>
      <c r="P30" s="7"/>
      <c r="Q30" s="7"/>
      <c r="R30" s="7"/>
      <c r="S30" s="7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B1FD-D270-49D4-AC1E-1D9279F4AEE0}">
  <dimension ref="A1:Q33"/>
  <sheetViews>
    <sheetView tabSelected="1" topLeftCell="A12" workbookViewId="0">
      <selection activeCell="E20" sqref="E20"/>
    </sheetView>
  </sheetViews>
  <sheetFormatPr defaultRowHeight="15" x14ac:dyDescent="0.25"/>
  <cols>
    <col min="1" max="1" width="29.140625" customWidth="1"/>
  </cols>
  <sheetData>
    <row r="1" spans="1:17" s="17" customFormat="1" ht="15.75" thickBot="1" x14ac:dyDescent="0.3">
      <c r="A1" s="16" t="s">
        <v>0</v>
      </c>
      <c r="B1" s="34" t="s">
        <v>100</v>
      </c>
      <c r="C1" s="34" t="s">
        <v>63</v>
      </c>
      <c r="D1" s="17" t="s">
        <v>64</v>
      </c>
      <c r="E1" s="35" t="s">
        <v>65</v>
      </c>
      <c r="F1" s="34" t="s">
        <v>66</v>
      </c>
      <c r="G1" s="23" t="s">
        <v>40</v>
      </c>
      <c r="H1" s="23" t="s">
        <v>41</v>
      </c>
      <c r="I1" s="23" t="s">
        <v>42</v>
      </c>
      <c r="J1" s="23" t="s">
        <v>43</v>
      </c>
      <c r="K1" s="23" t="s">
        <v>44</v>
      </c>
      <c r="L1" s="23" t="s">
        <v>45</v>
      </c>
      <c r="M1" s="23" t="s">
        <v>46</v>
      </c>
      <c r="N1" s="17" t="s">
        <v>80</v>
      </c>
      <c r="O1" s="17" t="s">
        <v>81</v>
      </c>
      <c r="P1" s="17" t="s">
        <v>82</v>
      </c>
      <c r="Q1" s="17" t="s">
        <v>83</v>
      </c>
    </row>
    <row r="2" spans="1:17" s="6" customFormat="1" x14ac:dyDescent="0.25">
      <c r="A2" s="5" t="s">
        <v>1</v>
      </c>
      <c r="B2" s="22"/>
      <c r="C2" s="22"/>
      <c r="D2" s="22"/>
      <c r="E2" s="22"/>
      <c r="F2" s="22"/>
    </row>
    <row r="3" spans="1:17" x14ac:dyDescent="0.25">
      <c r="A3" s="1" t="s">
        <v>11</v>
      </c>
      <c r="B3">
        <f>'dimensions (in)'!B22*6</f>
        <v>84</v>
      </c>
      <c r="C3">
        <f>'dimensions (in)'!C22*6</f>
        <v>96</v>
      </c>
      <c r="D3">
        <f>'dimensions (in)'!D22*6</f>
        <v>108</v>
      </c>
      <c r="E3">
        <f>'dimensions (in)'!E22*6</f>
        <v>120</v>
      </c>
      <c r="F3">
        <f>'dimensions (in)'!F22*6</f>
        <v>120</v>
      </c>
      <c r="G3" s="26">
        <f>'dimensions (in)'!G22*6</f>
        <v>120</v>
      </c>
      <c r="H3" s="26">
        <v>126</v>
      </c>
      <c r="I3" s="26">
        <f>'dimensions (in)'!I22*6</f>
        <v>126</v>
      </c>
      <c r="J3" s="26">
        <f>'dimensions (in)'!J22*6</f>
        <v>126</v>
      </c>
      <c r="K3" s="26">
        <f>'dimensions (in)'!K22*6</f>
        <v>132</v>
      </c>
      <c r="L3" s="26">
        <f>'dimensions (in)'!L22*6</f>
        <v>132</v>
      </c>
      <c r="M3" s="26">
        <f>'dimensions (in)'!M22*6</f>
        <v>132</v>
      </c>
      <c r="N3" s="31">
        <f>'dimensions (in)'!N22*6</f>
        <v>132</v>
      </c>
      <c r="O3" s="31">
        <f>'dimensions (in)'!O22*6</f>
        <v>138</v>
      </c>
      <c r="P3" s="31">
        <f>'dimensions (in)'!P22*6</f>
        <v>138</v>
      </c>
      <c r="Q3" s="31">
        <f>'dimensions (in)'!Q22*6</f>
        <v>138</v>
      </c>
    </row>
    <row r="4" spans="1:17" x14ac:dyDescent="0.25">
      <c r="A4" s="1" t="s">
        <v>30</v>
      </c>
      <c r="B4" s="2">
        <f t="shared" ref="B4:F4" si="0">B3*2/3</f>
        <v>56</v>
      </c>
      <c r="C4" s="2">
        <f t="shared" si="0"/>
        <v>64</v>
      </c>
      <c r="D4" s="2">
        <f t="shared" si="0"/>
        <v>72</v>
      </c>
      <c r="E4" s="2">
        <f t="shared" si="0"/>
        <v>80</v>
      </c>
      <c r="F4" s="2">
        <f t="shared" si="0"/>
        <v>80</v>
      </c>
      <c r="G4" s="26">
        <f t="shared" ref="G4:Q4" si="1">G3*2/3</f>
        <v>80</v>
      </c>
      <c r="H4" s="26">
        <f t="shared" si="1"/>
        <v>84</v>
      </c>
      <c r="I4" s="26">
        <f t="shared" si="1"/>
        <v>84</v>
      </c>
      <c r="J4" s="26">
        <f t="shared" si="1"/>
        <v>84</v>
      </c>
      <c r="K4" s="26">
        <f t="shared" si="1"/>
        <v>88</v>
      </c>
      <c r="L4" s="26">
        <f t="shared" si="1"/>
        <v>88</v>
      </c>
      <c r="M4" s="26">
        <f t="shared" si="1"/>
        <v>88</v>
      </c>
      <c r="N4" s="31">
        <f t="shared" si="1"/>
        <v>88</v>
      </c>
      <c r="O4" s="31">
        <f t="shared" si="1"/>
        <v>92</v>
      </c>
      <c r="P4" s="31">
        <f t="shared" si="1"/>
        <v>92</v>
      </c>
      <c r="Q4" s="31">
        <f t="shared" si="1"/>
        <v>92</v>
      </c>
    </row>
    <row r="5" spans="1:17" x14ac:dyDescent="0.25">
      <c r="A5" s="1" t="s">
        <v>29</v>
      </c>
      <c r="B5" s="2">
        <v>4</v>
      </c>
      <c r="C5" s="2">
        <v>4</v>
      </c>
      <c r="D5" s="2">
        <v>4</v>
      </c>
      <c r="E5" s="7">
        <v>6</v>
      </c>
      <c r="F5" s="7">
        <v>6</v>
      </c>
      <c r="G5" s="26">
        <v>6</v>
      </c>
      <c r="H5" s="26">
        <v>6</v>
      </c>
      <c r="I5" s="26">
        <v>6</v>
      </c>
      <c r="J5" s="26">
        <v>8</v>
      </c>
      <c r="K5" s="26">
        <v>8</v>
      </c>
      <c r="L5" s="26">
        <v>10</v>
      </c>
      <c r="M5" s="26">
        <v>10</v>
      </c>
      <c r="N5" s="31">
        <v>12</v>
      </c>
      <c r="O5" s="31">
        <v>12</v>
      </c>
      <c r="P5" s="31">
        <v>14</v>
      </c>
      <c r="Q5" s="31">
        <v>14</v>
      </c>
    </row>
    <row r="6" spans="1:17" x14ac:dyDescent="0.25">
      <c r="A6" s="1" t="s">
        <v>17</v>
      </c>
      <c r="B6" s="31">
        <f t="shared" ref="B6" si="2">B7-B3</f>
        <v>12</v>
      </c>
      <c r="C6" s="31">
        <f t="shared" ref="C6" si="3">C7-C3</f>
        <v>0</v>
      </c>
      <c r="D6" s="31">
        <f t="shared" ref="D6" si="4">D7-D3</f>
        <v>0</v>
      </c>
      <c r="E6" s="31">
        <f t="shared" ref="E6" si="5">E7-E3</f>
        <v>0</v>
      </c>
      <c r="F6" s="31">
        <f t="shared" ref="F6" si="6">F7-F3</f>
        <v>0</v>
      </c>
      <c r="G6" s="26">
        <f>G7-G3</f>
        <v>0</v>
      </c>
      <c r="H6" s="26">
        <v>6</v>
      </c>
      <c r="I6" s="26">
        <f>I7-I3</f>
        <v>6</v>
      </c>
      <c r="J6" s="26">
        <f>J7-J3</f>
        <v>6</v>
      </c>
      <c r="K6" s="26">
        <f>K7-K3</f>
        <v>12</v>
      </c>
      <c r="L6" s="26">
        <f>L7-L3</f>
        <v>12</v>
      </c>
      <c r="M6" s="26">
        <f>M7-M3</f>
        <v>12</v>
      </c>
      <c r="N6" s="31">
        <f t="shared" ref="N6:Q6" si="7">N7-N3</f>
        <v>44</v>
      </c>
      <c r="O6" s="31">
        <f t="shared" si="7"/>
        <v>54</v>
      </c>
      <c r="P6" s="31">
        <f t="shared" si="7"/>
        <v>38</v>
      </c>
      <c r="Q6" s="31">
        <f t="shared" si="7"/>
        <v>54</v>
      </c>
    </row>
    <row r="7" spans="1:17" x14ac:dyDescent="0.25">
      <c r="A7" s="1" t="s">
        <v>13</v>
      </c>
      <c r="B7" s="2">
        <f t="shared" ref="B7:F7" si="8">B8*B9</f>
        <v>96</v>
      </c>
      <c r="C7" s="2">
        <f t="shared" si="8"/>
        <v>96</v>
      </c>
      <c r="D7" s="2">
        <f t="shared" si="8"/>
        <v>108</v>
      </c>
      <c r="E7" s="2">
        <f t="shared" si="8"/>
        <v>120</v>
      </c>
      <c r="F7" s="2">
        <f t="shared" si="8"/>
        <v>120</v>
      </c>
      <c r="G7" s="26">
        <f>G8*G9</f>
        <v>120</v>
      </c>
      <c r="H7" s="26">
        <f t="shared" ref="H7:Q7" si="9">H8*H9</f>
        <v>132</v>
      </c>
      <c r="I7" s="26">
        <f t="shared" si="9"/>
        <v>132</v>
      </c>
      <c r="J7" s="26">
        <f t="shared" si="9"/>
        <v>132</v>
      </c>
      <c r="K7" s="26">
        <f t="shared" si="9"/>
        <v>144</v>
      </c>
      <c r="L7" s="26">
        <f t="shared" si="9"/>
        <v>144</v>
      </c>
      <c r="M7" s="26">
        <f t="shared" si="9"/>
        <v>144</v>
      </c>
      <c r="N7" s="31">
        <f t="shared" si="9"/>
        <v>176</v>
      </c>
      <c r="O7" s="31">
        <f t="shared" si="9"/>
        <v>192</v>
      </c>
      <c r="P7" s="31">
        <f t="shared" si="9"/>
        <v>176</v>
      </c>
      <c r="Q7" s="31">
        <f t="shared" si="9"/>
        <v>192</v>
      </c>
    </row>
    <row r="8" spans="1:17" x14ac:dyDescent="0.25">
      <c r="A8" s="1" t="s">
        <v>16</v>
      </c>
      <c r="B8" s="2">
        <v>16</v>
      </c>
      <c r="C8" s="2">
        <v>16</v>
      </c>
      <c r="D8" s="2">
        <v>18</v>
      </c>
      <c r="E8" s="2">
        <v>20</v>
      </c>
      <c r="F8" s="2">
        <v>20</v>
      </c>
      <c r="G8" s="26">
        <v>20</v>
      </c>
      <c r="H8" s="26">
        <v>22</v>
      </c>
      <c r="I8" s="26">
        <v>22</v>
      </c>
      <c r="J8" s="26">
        <v>22</v>
      </c>
      <c r="K8" s="26">
        <v>24</v>
      </c>
      <c r="L8" s="26">
        <v>24</v>
      </c>
      <c r="M8" s="26">
        <v>24</v>
      </c>
      <c r="N8" s="31">
        <v>22</v>
      </c>
      <c r="O8" s="31">
        <v>24</v>
      </c>
      <c r="P8" s="31">
        <v>22</v>
      </c>
      <c r="Q8" s="31">
        <v>24</v>
      </c>
    </row>
    <row r="9" spans="1:17" x14ac:dyDescent="0.25">
      <c r="A9" s="1" t="s">
        <v>78</v>
      </c>
      <c r="B9" s="2">
        <v>6</v>
      </c>
      <c r="C9" s="2">
        <v>6</v>
      </c>
      <c r="D9" s="2">
        <v>6</v>
      </c>
      <c r="E9" s="7">
        <v>6</v>
      </c>
      <c r="F9" s="7">
        <v>6</v>
      </c>
      <c r="G9" s="26">
        <v>6</v>
      </c>
      <c r="H9" s="26">
        <v>6</v>
      </c>
      <c r="I9" s="26">
        <v>6</v>
      </c>
      <c r="J9" s="26">
        <v>6</v>
      </c>
      <c r="K9" s="26">
        <v>6</v>
      </c>
      <c r="L9" s="26">
        <v>6</v>
      </c>
      <c r="M9" s="26">
        <v>6</v>
      </c>
      <c r="N9" s="31">
        <v>8</v>
      </c>
      <c r="O9" s="31">
        <v>8</v>
      </c>
      <c r="P9" s="31">
        <v>8</v>
      </c>
      <c r="Q9" s="31">
        <v>8</v>
      </c>
    </row>
    <row r="10" spans="1:17" x14ac:dyDescent="0.25">
      <c r="A10" s="1" t="s">
        <v>79</v>
      </c>
      <c r="B10" s="2">
        <v>10</v>
      </c>
      <c r="C10" s="2">
        <v>10</v>
      </c>
      <c r="D10" s="2">
        <v>10</v>
      </c>
      <c r="E10" s="7">
        <v>10</v>
      </c>
      <c r="F10" s="7">
        <v>10</v>
      </c>
      <c r="G10" s="26">
        <v>12</v>
      </c>
      <c r="H10" s="26">
        <v>12</v>
      </c>
      <c r="I10" s="26">
        <v>12</v>
      </c>
      <c r="J10" s="26">
        <v>12</v>
      </c>
      <c r="K10" s="26">
        <v>12</v>
      </c>
      <c r="L10" s="26">
        <v>12</v>
      </c>
      <c r="M10" s="26">
        <v>12</v>
      </c>
      <c r="N10" s="31">
        <v>14</v>
      </c>
      <c r="O10" s="31">
        <v>14</v>
      </c>
      <c r="P10" s="31">
        <v>16</v>
      </c>
      <c r="Q10" s="31">
        <v>16</v>
      </c>
    </row>
    <row r="11" spans="1:17" x14ac:dyDescent="0.25">
      <c r="A11" s="1" t="s">
        <v>72</v>
      </c>
      <c r="B11" s="2">
        <f t="shared" ref="B11:F11" si="10">B8*B10</f>
        <v>160</v>
      </c>
      <c r="C11" s="2">
        <f t="shared" si="10"/>
        <v>160</v>
      </c>
      <c r="D11" s="2">
        <f t="shared" si="10"/>
        <v>180</v>
      </c>
      <c r="E11" s="2">
        <f t="shared" si="10"/>
        <v>200</v>
      </c>
      <c r="F11" s="2">
        <f t="shared" si="10"/>
        <v>200</v>
      </c>
      <c r="G11" s="26">
        <f t="shared" ref="G11:J11" si="11">G8*G10</f>
        <v>240</v>
      </c>
      <c r="H11" s="26">
        <f t="shared" si="11"/>
        <v>264</v>
      </c>
      <c r="I11" s="26">
        <f t="shared" si="11"/>
        <v>264</v>
      </c>
      <c r="J11" s="26">
        <f t="shared" si="11"/>
        <v>264</v>
      </c>
      <c r="K11" s="26">
        <f t="shared" ref="K11:L11" si="12">K8*K10</f>
        <v>288</v>
      </c>
      <c r="L11" s="26">
        <f t="shared" si="12"/>
        <v>288</v>
      </c>
      <c r="M11" s="26">
        <f>M8*M10</f>
        <v>288</v>
      </c>
      <c r="N11">
        <f t="shared" ref="N11:Q11" si="13">N8*N10</f>
        <v>308</v>
      </c>
      <c r="O11">
        <f t="shared" si="13"/>
        <v>336</v>
      </c>
      <c r="P11">
        <f t="shared" si="13"/>
        <v>352</v>
      </c>
      <c r="Q11">
        <f t="shared" si="13"/>
        <v>384</v>
      </c>
    </row>
    <row r="12" spans="1:17" s="38" customFormat="1" x14ac:dyDescent="0.25">
      <c r="A12" s="37" t="s">
        <v>73</v>
      </c>
      <c r="B12" s="39">
        <f>'dimensions (in)'!B15*6</f>
        <v>162.48000000000002</v>
      </c>
      <c r="C12" s="39">
        <f>'dimensions (in)'!C15*6</f>
        <v>170.34000000000003</v>
      </c>
      <c r="D12" s="39">
        <f>'dimensions (in)'!D15*6</f>
        <v>178.20000000000002</v>
      </c>
      <c r="E12" s="39">
        <f>'dimensions (in)'!E15*6</f>
        <v>186.06</v>
      </c>
      <c r="F12" s="39">
        <f>'dimensions (in)'!F15*6</f>
        <v>201.78000000000003</v>
      </c>
      <c r="G12" s="38">
        <f>'dimensions (in)'!G15*6</f>
        <v>217.5</v>
      </c>
      <c r="H12" s="38">
        <f>'dimensions (in)'!H15*6</f>
        <v>233.28000000000003</v>
      </c>
      <c r="I12" s="38">
        <f>'dimensions (in)'!I15*6</f>
        <v>249</v>
      </c>
      <c r="J12" s="38">
        <f>'dimensions (in)'!J15*6</f>
        <v>264.78000000000003</v>
      </c>
      <c r="K12" s="38">
        <f>'dimensions (in)'!K15*6</f>
        <v>280.5</v>
      </c>
      <c r="L12" s="38">
        <f>'dimensions (in)'!L15*6</f>
        <v>296.28000000000003</v>
      </c>
      <c r="M12" s="38">
        <f>'dimensions (in)'!M15*6</f>
        <v>312</v>
      </c>
      <c r="N12" s="39">
        <f>'dimensions (in)'!N15*6</f>
        <v>327.78000000000003</v>
      </c>
      <c r="O12" s="39">
        <f>'dimensions (in)'!O15*6</f>
        <v>343.5</v>
      </c>
      <c r="P12" s="39">
        <f>'dimensions (in)'!P15*6</f>
        <v>359.21999999999997</v>
      </c>
      <c r="Q12" s="39">
        <f>'dimensions (in)'!Q15*6</f>
        <v>374.93999999999994</v>
      </c>
    </row>
    <row r="13" spans="1:17" x14ac:dyDescent="0.25">
      <c r="A13" s="1" t="s">
        <v>14</v>
      </c>
      <c r="B13" s="2">
        <f t="shared" ref="B13:F13" si="14">B16-B11</f>
        <v>64</v>
      </c>
      <c r="C13" s="2">
        <f t="shared" si="14"/>
        <v>80</v>
      </c>
      <c r="D13" s="2">
        <f t="shared" si="14"/>
        <v>72</v>
      </c>
      <c r="E13" s="2">
        <f t="shared" si="14"/>
        <v>80</v>
      </c>
      <c r="F13" s="2">
        <f t="shared" si="14"/>
        <v>100</v>
      </c>
      <c r="G13" s="26">
        <f t="shared" ref="G13:M13" si="15">G16-G11</f>
        <v>80</v>
      </c>
      <c r="H13" s="26">
        <f t="shared" si="15"/>
        <v>88</v>
      </c>
      <c r="I13" s="26">
        <f t="shared" si="15"/>
        <v>110</v>
      </c>
      <c r="J13" s="26">
        <f t="shared" si="15"/>
        <v>154</v>
      </c>
      <c r="K13" s="26">
        <f t="shared" si="15"/>
        <v>168</v>
      </c>
      <c r="L13" s="26">
        <f t="shared" si="15"/>
        <v>216</v>
      </c>
      <c r="M13" s="26">
        <f t="shared" si="15"/>
        <v>240</v>
      </c>
      <c r="N13">
        <f t="shared" ref="N13:Q13" si="16">N16-N11</f>
        <v>242</v>
      </c>
      <c r="O13">
        <f t="shared" si="16"/>
        <v>264</v>
      </c>
      <c r="P13">
        <f t="shared" si="16"/>
        <v>264</v>
      </c>
      <c r="Q13">
        <f t="shared" si="16"/>
        <v>280</v>
      </c>
    </row>
    <row r="14" spans="1:17" x14ac:dyDescent="0.25">
      <c r="A14" s="1" t="s">
        <v>31</v>
      </c>
      <c r="B14" s="2">
        <f t="shared" ref="B14:E14" si="17">B13/(2*B8)</f>
        <v>2</v>
      </c>
      <c r="C14" s="2">
        <f t="shared" si="17"/>
        <v>2.5</v>
      </c>
      <c r="D14" s="2">
        <f t="shared" si="17"/>
        <v>2</v>
      </c>
      <c r="E14" s="2">
        <f t="shared" si="17"/>
        <v>2</v>
      </c>
      <c r="F14" s="2">
        <f>F13/(2*F8)</f>
        <v>2.5</v>
      </c>
      <c r="G14" s="26">
        <f>G13/(2*G8)</f>
        <v>2</v>
      </c>
      <c r="H14" s="26">
        <v>2</v>
      </c>
      <c r="I14" s="26">
        <f t="shared" ref="I14:N14" si="18">I13/(2*I8)</f>
        <v>2.5</v>
      </c>
      <c r="J14" s="26">
        <f t="shared" si="18"/>
        <v>3.5</v>
      </c>
      <c r="K14" s="26">
        <f t="shared" si="18"/>
        <v>3.5</v>
      </c>
      <c r="L14" s="26">
        <f t="shared" si="18"/>
        <v>4.5</v>
      </c>
      <c r="M14" s="26">
        <f t="shared" si="18"/>
        <v>5</v>
      </c>
      <c r="N14">
        <f t="shared" si="18"/>
        <v>5.5</v>
      </c>
      <c r="O14">
        <f t="shared" ref="O14:Q14" si="19">O13/(2*O8)</f>
        <v>5.5</v>
      </c>
      <c r="P14">
        <f t="shared" si="19"/>
        <v>6</v>
      </c>
      <c r="Q14">
        <f t="shared" si="19"/>
        <v>5.833333333333333</v>
      </c>
    </row>
    <row r="15" spans="1:17" x14ac:dyDescent="0.25">
      <c r="A15" s="1" t="s">
        <v>33</v>
      </c>
      <c r="B15" s="2">
        <v>0</v>
      </c>
      <c r="C15">
        <f>C8</f>
        <v>16</v>
      </c>
      <c r="D15" s="2">
        <v>0</v>
      </c>
      <c r="E15">
        <v>0</v>
      </c>
      <c r="F15">
        <f>F8</f>
        <v>20</v>
      </c>
      <c r="G15" s="26">
        <v>0</v>
      </c>
      <c r="H15" s="26">
        <f>H13-2*2*H8</f>
        <v>0</v>
      </c>
      <c r="I15" s="26">
        <f>I13-2*2*I8</f>
        <v>22</v>
      </c>
      <c r="J15" s="26">
        <f>J13-3*2*J8</f>
        <v>22</v>
      </c>
      <c r="K15" s="26">
        <f>K13-3*2*K8</f>
        <v>24</v>
      </c>
      <c r="L15" s="26">
        <f>L13-4*2*L8</f>
        <v>24</v>
      </c>
      <c r="M15" s="26">
        <f>M13-5*2*M8</f>
        <v>0</v>
      </c>
      <c r="N15">
        <f>N8</f>
        <v>22</v>
      </c>
      <c r="O15">
        <f>O8</f>
        <v>24</v>
      </c>
      <c r="P15">
        <v>0</v>
      </c>
      <c r="Q15">
        <v>0</v>
      </c>
    </row>
    <row r="16" spans="1:17" x14ac:dyDescent="0.25">
      <c r="A16" s="1" t="s">
        <v>2</v>
      </c>
      <c r="B16">
        <f t="shared" ref="B16:E16" si="20">2*(B19+B20)</f>
        <v>224</v>
      </c>
      <c r="C16">
        <f t="shared" si="20"/>
        <v>240</v>
      </c>
      <c r="D16">
        <f t="shared" si="20"/>
        <v>252</v>
      </c>
      <c r="E16">
        <f t="shared" si="20"/>
        <v>280</v>
      </c>
      <c r="F16">
        <f>2*(F19+F20)</f>
        <v>300</v>
      </c>
      <c r="G16" s="26">
        <f>2*(G19+G20)</f>
        <v>320</v>
      </c>
      <c r="H16" s="26">
        <v>352</v>
      </c>
      <c r="I16" s="26">
        <v>374</v>
      </c>
      <c r="J16" s="26">
        <v>418</v>
      </c>
      <c r="K16" s="26">
        <v>456</v>
      </c>
      <c r="L16" s="26">
        <v>504</v>
      </c>
      <c r="M16" s="26">
        <v>528</v>
      </c>
      <c r="N16">
        <f>2*(N19+N20)</f>
        <v>550</v>
      </c>
      <c r="O16">
        <f t="shared" ref="O16:Q16" si="21">2*(O19+O20)</f>
        <v>600</v>
      </c>
      <c r="P16">
        <f t="shared" si="21"/>
        <v>616</v>
      </c>
      <c r="Q16">
        <f t="shared" si="21"/>
        <v>664</v>
      </c>
    </row>
    <row r="17" spans="1:17" s="38" customFormat="1" x14ac:dyDescent="0.25">
      <c r="A17" s="37" t="s">
        <v>77</v>
      </c>
      <c r="B17" s="39">
        <f>'dimensions (in)'!B17*6</f>
        <v>240.48000000000002</v>
      </c>
      <c r="C17" s="39">
        <f>'dimensions (in)'!C17*6</f>
        <v>254.34</v>
      </c>
      <c r="D17" s="39">
        <f>'dimensions (in)'!D17*6</f>
        <v>268.20000000000005</v>
      </c>
      <c r="E17" s="39">
        <f>'dimensions (in)'!E17*6</f>
        <v>288.06000000000006</v>
      </c>
      <c r="F17" s="39">
        <f>'dimensions (in)'!F17*6</f>
        <v>315.78000000000003</v>
      </c>
      <c r="G17" s="38">
        <f>'dimensions (in)'!G17*6</f>
        <v>331.5</v>
      </c>
      <c r="H17" s="38">
        <f>'dimensions (in)'!H17*6</f>
        <v>359.28000000000003</v>
      </c>
      <c r="I17" s="38">
        <f>'dimensions (in)'!I17*6</f>
        <v>387</v>
      </c>
      <c r="J17" s="38">
        <f>'dimensions (in)'!J17*6</f>
        <v>414.78</v>
      </c>
      <c r="K17" s="38">
        <f>'dimensions (in)'!K17*6</f>
        <v>442.5</v>
      </c>
      <c r="L17" s="38">
        <f>'dimensions (in)'!L17*6</f>
        <v>476.28</v>
      </c>
      <c r="M17" s="38">
        <f>'dimensions (in)'!M17*6</f>
        <v>510</v>
      </c>
      <c r="N17" s="39">
        <f>'dimensions (in)'!N17*6</f>
        <v>543.78</v>
      </c>
      <c r="O17" s="39">
        <f>'dimensions (in)'!O17*6</f>
        <v>577.5</v>
      </c>
      <c r="P17" s="39">
        <f>'dimensions (in)'!P17*6</f>
        <v>611.22</v>
      </c>
      <c r="Q17" s="39">
        <f>'dimensions (in)'!Q17*6</f>
        <v>644.93999999999994</v>
      </c>
    </row>
    <row r="18" spans="1:17" s="15" customFormat="1" x14ac:dyDescent="0.25">
      <c r="A18" s="14" t="s">
        <v>74</v>
      </c>
      <c r="B18" s="15">
        <f t="shared" ref="B18:E18" si="22">2*B19+2*B20</f>
        <v>224</v>
      </c>
      <c r="C18" s="15">
        <f t="shared" si="22"/>
        <v>240</v>
      </c>
      <c r="D18" s="15">
        <f t="shared" si="22"/>
        <v>252</v>
      </c>
      <c r="E18" s="15">
        <f t="shared" si="22"/>
        <v>280</v>
      </c>
      <c r="F18" s="15">
        <f>2*F19+2*F20</f>
        <v>300</v>
      </c>
      <c r="G18" s="15">
        <f t="shared" ref="G18:Q18" si="23">2*G19+2*G20</f>
        <v>320</v>
      </c>
      <c r="H18" s="15">
        <f t="shared" si="23"/>
        <v>352</v>
      </c>
      <c r="I18" s="15">
        <f t="shared" si="23"/>
        <v>374</v>
      </c>
      <c r="J18" s="15">
        <f t="shared" si="23"/>
        <v>418</v>
      </c>
      <c r="K18" s="15">
        <f t="shared" si="23"/>
        <v>456</v>
      </c>
      <c r="L18" s="15">
        <f t="shared" si="23"/>
        <v>504</v>
      </c>
      <c r="M18" s="15">
        <f t="shared" si="23"/>
        <v>528</v>
      </c>
      <c r="N18" s="15">
        <f t="shared" si="23"/>
        <v>550</v>
      </c>
      <c r="O18" s="15">
        <f t="shared" si="23"/>
        <v>600</v>
      </c>
      <c r="P18" s="15">
        <f t="shared" si="23"/>
        <v>616</v>
      </c>
      <c r="Q18" s="15">
        <f t="shared" si="23"/>
        <v>664</v>
      </c>
    </row>
    <row r="19" spans="1:17" x14ac:dyDescent="0.25">
      <c r="A19" s="1" t="s">
        <v>8</v>
      </c>
      <c r="B19" s="2">
        <f t="shared" ref="B19:F19" si="24">B25-B21</f>
        <v>56</v>
      </c>
      <c r="C19" s="2">
        <f t="shared" si="24"/>
        <v>60</v>
      </c>
      <c r="D19" s="2">
        <f t="shared" si="24"/>
        <v>64</v>
      </c>
      <c r="E19" s="2">
        <f t="shared" si="24"/>
        <v>69</v>
      </c>
      <c r="F19" s="2">
        <f t="shared" si="24"/>
        <v>74</v>
      </c>
      <c r="G19" s="26">
        <f>G25-G21</f>
        <v>76</v>
      </c>
      <c r="H19" s="26">
        <v>80</v>
      </c>
      <c r="I19" s="26">
        <v>80</v>
      </c>
      <c r="J19" s="26">
        <v>88</v>
      </c>
      <c r="K19" s="26">
        <v>98</v>
      </c>
      <c r="L19" s="26">
        <v>108</v>
      </c>
      <c r="M19" s="26">
        <v>112</v>
      </c>
      <c r="N19">
        <f>N25-N21</f>
        <v>113</v>
      </c>
      <c r="O19">
        <f t="shared" ref="O19:Q19" si="25">O25-O21</f>
        <v>126</v>
      </c>
      <c r="P19">
        <f t="shared" si="25"/>
        <v>124</v>
      </c>
      <c r="Q19">
        <f t="shared" si="25"/>
        <v>136</v>
      </c>
    </row>
    <row r="20" spans="1:17" x14ac:dyDescent="0.25">
      <c r="A20" s="1" t="s">
        <v>3</v>
      </c>
      <c r="B20" s="2">
        <f>(B23-2*B21)/2</f>
        <v>56</v>
      </c>
      <c r="C20" s="2">
        <f t="shared" ref="C20:F20" si="26">(C23-2*C21)/2</f>
        <v>60</v>
      </c>
      <c r="D20" s="2">
        <f t="shared" si="26"/>
        <v>62</v>
      </c>
      <c r="E20" s="2">
        <f t="shared" si="26"/>
        <v>71</v>
      </c>
      <c r="F20" s="2">
        <f t="shared" si="26"/>
        <v>76</v>
      </c>
      <c r="G20" s="26">
        <f>(G23-2*G21)/2</f>
        <v>84</v>
      </c>
      <c r="H20" s="26">
        <v>96</v>
      </c>
      <c r="I20" s="26">
        <v>107</v>
      </c>
      <c r="J20" s="26">
        <v>121</v>
      </c>
      <c r="K20" s="26">
        <v>130</v>
      </c>
      <c r="L20" s="26">
        <v>144</v>
      </c>
      <c r="M20" s="26">
        <v>152</v>
      </c>
      <c r="N20">
        <f t="shared" ref="N20:Q20" si="27">(N23-2*N21)/2</f>
        <v>162</v>
      </c>
      <c r="O20">
        <f t="shared" si="27"/>
        <v>174</v>
      </c>
      <c r="P20">
        <f t="shared" si="27"/>
        <v>184</v>
      </c>
      <c r="Q20">
        <f t="shared" si="27"/>
        <v>196</v>
      </c>
    </row>
    <row r="21" spans="1:17" x14ac:dyDescent="0.25">
      <c r="A21" s="1" t="s">
        <v>7</v>
      </c>
      <c r="B21" s="2">
        <v>2</v>
      </c>
      <c r="C21" s="2">
        <v>2</v>
      </c>
      <c r="D21" s="2">
        <v>4</v>
      </c>
      <c r="E21" s="2">
        <v>6</v>
      </c>
      <c r="F21" s="2">
        <v>8</v>
      </c>
      <c r="G21" s="26">
        <v>12</v>
      </c>
      <c r="H21" s="26">
        <v>12</v>
      </c>
      <c r="I21" s="26">
        <v>14</v>
      </c>
      <c r="J21" s="26">
        <v>12</v>
      </c>
      <c r="K21" s="26">
        <v>14</v>
      </c>
      <c r="L21" s="26">
        <v>12</v>
      </c>
      <c r="M21" s="26">
        <v>16</v>
      </c>
      <c r="N21" s="31">
        <v>18</v>
      </c>
      <c r="O21" s="31">
        <v>18</v>
      </c>
      <c r="P21" s="31">
        <v>20</v>
      </c>
      <c r="Q21" s="31">
        <v>20</v>
      </c>
    </row>
    <row r="22" spans="1:17" s="15" customFormat="1" x14ac:dyDescent="0.25">
      <c r="A22" s="14" t="s">
        <v>75</v>
      </c>
      <c r="B22" s="15">
        <f t="shared" ref="B22:F22" si="28">B20*2+B21*2</f>
        <v>116</v>
      </c>
      <c r="C22" s="15">
        <f t="shared" si="28"/>
        <v>124</v>
      </c>
      <c r="D22" s="15">
        <f t="shared" si="28"/>
        <v>132</v>
      </c>
      <c r="E22" s="15">
        <f t="shared" si="28"/>
        <v>154</v>
      </c>
      <c r="F22" s="15">
        <f t="shared" si="28"/>
        <v>168</v>
      </c>
      <c r="G22" s="15">
        <f>G20*2+G21*2</f>
        <v>192</v>
      </c>
      <c r="H22" s="15">
        <f t="shared" ref="H22:Q22" si="29">H20*2+H21*2</f>
        <v>216</v>
      </c>
      <c r="I22" s="15">
        <f t="shared" si="29"/>
        <v>242</v>
      </c>
      <c r="J22" s="15">
        <f t="shared" si="29"/>
        <v>266</v>
      </c>
      <c r="K22" s="15">
        <f t="shared" si="29"/>
        <v>288</v>
      </c>
      <c r="L22" s="15">
        <f t="shared" si="29"/>
        <v>312</v>
      </c>
      <c r="M22" s="15">
        <f t="shared" si="29"/>
        <v>336</v>
      </c>
      <c r="N22" s="15">
        <f t="shared" si="29"/>
        <v>360</v>
      </c>
      <c r="O22" s="15">
        <f t="shared" si="29"/>
        <v>384</v>
      </c>
      <c r="P22" s="15">
        <f t="shared" si="29"/>
        <v>408</v>
      </c>
      <c r="Q22" s="15">
        <f t="shared" si="29"/>
        <v>432</v>
      </c>
    </row>
    <row r="23" spans="1:17" x14ac:dyDescent="0.25">
      <c r="A23" s="1" t="s">
        <v>4</v>
      </c>
      <c r="B23" s="2">
        <f>'dimensions (in)'!B21*6+8</f>
        <v>116</v>
      </c>
      <c r="C23" s="2">
        <f>'dimensions (in)'!C21*6+4</f>
        <v>124</v>
      </c>
      <c r="D23" s="2">
        <f>'dimensions (in)'!D21*6</f>
        <v>132</v>
      </c>
      <c r="E23" s="2">
        <f>'dimensions (in)'!E21*6+10</f>
        <v>154</v>
      </c>
      <c r="F23" s="2">
        <f>'dimensions (in)'!F21*6</f>
        <v>168</v>
      </c>
      <c r="G23" s="26">
        <f>'dimensions (in)'!G21*6</f>
        <v>192</v>
      </c>
      <c r="H23" s="26">
        <f>'dimensions (in)'!H21*6</f>
        <v>216</v>
      </c>
      <c r="I23" s="26">
        <f>'dimensions (in)'!I21*6</f>
        <v>240</v>
      </c>
      <c r="J23" s="26">
        <f>'dimensions (in)'!J21*6</f>
        <v>264</v>
      </c>
      <c r="K23" s="26">
        <f>'dimensions (in)'!K21*6</f>
        <v>288</v>
      </c>
      <c r="L23" s="26">
        <f>'dimensions (in)'!L21*6</f>
        <v>312</v>
      </c>
      <c r="M23" s="26">
        <f>'dimensions (in)'!M21*6</f>
        <v>336</v>
      </c>
      <c r="N23" s="2">
        <f>'dimensions (in)'!N21*6</f>
        <v>360</v>
      </c>
      <c r="O23" s="2">
        <f>'dimensions (in)'!O21*6</f>
        <v>384</v>
      </c>
      <c r="P23" s="2">
        <f>'dimensions (in)'!P21*6</f>
        <v>408</v>
      </c>
      <c r="Q23" s="2">
        <f>'dimensions (in)'!Q21*6</f>
        <v>432</v>
      </c>
    </row>
    <row r="24" spans="1:17" s="15" customFormat="1" x14ac:dyDescent="0.25">
      <c r="A24" s="14" t="s">
        <v>76</v>
      </c>
      <c r="B24" s="15">
        <f t="shared" ref="B24:Q24" si="30">B19+B21</f>
        <v>58</v>
      </c>
      <c r="C24" s="15">
        <f t="shared" si="30"/>
        <v>62</v>
      </c>
      <c r="D24" s="15">
        <f t="shared" si="30"/>
        <v>68</v>
      </c>
      <c r="E24" s="15">
        <f t="shared" si="30"/>
        <v>75</v>
      </c>
      <c r="F24" s="15">
        <f>F19+F21</f>
        <v>82</v>
      </c>
      <c r="G24" s="15">
        <f t="shared" ref="G24" si="31">G19+G21</f>
        <v>88</v>
      </c>
      <c r="H24" s="15">
        <f t="shared" si="30"/>
        <v>92</v>
      </c>
      <c r="I24" s="15">
        <f t="shared" si="30"/>
        <v>94</v>
      </c>
      <c r="J24" s="15">
        <f t="shared" si="30"/>
        <v>100</v>
      </c>
      <c r="K24" s="15">
        <f t="shared" si="30"/>
        <v>112</v>
      </c>
      <c r="L24" s="15">
        <f t="shared" si="30"/>
        <v>120</v>
      </c>
      <c r="M24" s="15">
        <f t="shared" si="30"/>
        <v>128</v>
      </c>
      <c r="N24" s="15">
        <f t="shared" si="30"/>
        <v>131</v>
      </c>
      <c r="O24" s="15">
        <f t="shared" si="30"/>
        <v>144</v>
      </c>
      <c r="P24" s="15">
        <f t="shared" si="30"/>
        <v>144</v>
      </c>
      <c r="Q24" s="15">
        <f t="shared" si="30"/>
        <v>156</v>
      </c>
    </row>
    <row r="25" spans="1:17" x14ac:dyDescent="0.25">
      <c r="A25" s="1" t="s">
        <v>9</v>
      </c>
      <c r="B25" s="2">
        <f>'dimensions (in)'!B26*6+16</f>
        <v>58</v>
      </c>
      <c r="C25" s="2">
        <f>'dimensions (in)'!C26*6+14</f>
        <v>62</v>
      </c>
      <c r="D25" s="2">
        <f>'dimensions (in)'!D26*6+14</f>
        <v>68</v>
      </c>
      <c r="E25" s="2">
        <f>'dimensions (in)'!E26*6+12</f>
        <v>75</v>
      </c>
      <c r="F25" s="2">
        <f>'dimensions (in)'!F26*6+10</f>
        <v>82</v>
      </c>
      <c r="G25" s="26">
        <f>'dimensions (in)'!G26*6+10</f>
        <v>88</v>
      </c>
      <c r="H25" s="26">
        <f>'dimensions (in)'!H26*6+10</f>
        <v>91</v>
      </c>
      <c r="I25" s="26">
        <f>'dimensions (in)'!I26*6+10</f>
        <v>94</v>
      </c>
      <c r="J25" s="26">
        <f>'dimensions (in)'!J26*6+10</f>
        <v>100</v>
      </c>
      <c r="K25" s="26">
        <f>'dimensions (in)'!K26*6+10</f>
        <v>109</v>
      </c>
      <c r="L25" s="26">
        <f>'dimensions (in)'!L26*6+10</f>
        <v>121</v>
      </c>
      <c r="M25" s="26">
        <f>'dimensions (in)'!M26*6+10</f>
        <v>130</v>
      </c>
      <c r="N25">
        <f>'dimensions (in)'!N26*6-1</f>
        <v>131</v>
      </c>
      <c r="O25">
        <f>'dimensions (in)'!O26*6</f>
        <v>144</v>
      </c>
      <c r="P25">
        <f>'dimensions (in)'!P26*6</f>
        <v>144</v>
      </c>
      <c r="Q25">
        <f>'dimensions (in)'!Q26*6</f>
        <v>156</v>
      </c>
    </row>
    <row r="26" spans="1:17" x14ac:dyDescent="0.25">
      <c r="A26" s="1" t="s">
        <v>5</v>
      </c>
      <c r="B26" s="2"/>
      <c r="C26" s="2"/>
      <c r="D26" s="2"/>
      <c r="E26" s="2"/>
      <c r="F26" s="2"/>
      <c r="G26" s="26">
        <f t="shared" ref="G26:M26" si="32">G24-G27</f>
        <v>8</v>
      </c>
      <c r="H26" s="26">
        <f t="shared" si="32"/>
        <v>12</v>
      </c>
      <c r="I26" s="26">
        <f t="shared" si="32"/>
        <v>14</v>
      </c>
      <c r="J26" s="26">
        <f t="shared" si="32"/>
        <v>10</v>
      </c>
      <c r="K26" s="26">
        <f t="shared" si="32"/>
        <v>22</v>
      </c>
      <c r="L26" s="26">
        <f t="shared" si="32"/>
        <v>20</v>
      </c>
      <c r="M26" s="26">
        <f t="shared" si="32"/>
        <v>28</v>
      </c>
    </row>
    <row r="27" spans="1:17" x14ac:dyDescent="0.25">
      <c r="A27" s="1" t="s">
        <v>10</v>
      </c>
      <c r="B27" s="2"/>
      <c r="C27" s="2"/>
      <c r="D27" s="2"/>
      <c r="E27" s="2"/>
      <c r="F27" s="2"/>
      <c r="G27" s="26">
        <f>G28*10</f>
        <v>80</v>
      </c>
      <c r="H27" s="26">
        <v>80</v>
      </c>
      <c r="I27" s="26">
        <f>I28*10</f>
        <v>80</v>
      </c>
      <c r="J27" s="26">
        <f>J28*10</f>
        <v>90</v>
      </c>
      <c r="K27" s="26">
        <f>K28*10</f>
        <v>90</v>
      </c>
      <c r="L27" s="26">
        <f>L28*10</f>
        <v>100</v>
      </c>
      <c r="M27" s="26">
        <f>M28*10</f>
        <v>100</v>
      </c>
    </row>
    <row r="28" spans="1:17" x14ac:dyDescent="0.25">
      <c r="A28" s="1" t="s">
        <v>6</v>
      </c>
      <c r="B28" s="2"/>
      <c r="C28" s="2"/>
      <c r="D28" s="2"/>
      <c r="E28" s="2"/>
      <c r="F28" s="2"/>
      <c r="G28" s="26">
        <v>8</v>
      </c>
      <c r="H28" s="26">
        <v>8</v>
      </c>
      <c r="I28" s="26">
        <v>8</v>
      </c>
      <c r="J28" s="26">
        <v>9</v>
      </c>
      <c r="K28" s="26">
        <v>9</v>
      </c>
      <c r="L28" s="26">
        <v>10</v>
      </c>
      <c r="M28" s="26">
        <v>10</v>
      </c>
    </row>
    <row r="29" spans="1:17" x14ac:dyDescent="0.25">
      <c r="A29" s="1" t="s">
        <v>15</v>
      </c>
      <c r="B29" s="2"/>
      <c r="C29" s="2"/>
      <c r="D29" s="2"/>
      <c r="E29" s="2"/>
      <c r="F29" s="2"/>
      <c r="G29" s="26">
        <f>G28*8</f>
        <v>64</v>
      </c>
      <c r="H29" s="26">
        <v>64</v>
      </c>
      <c r="I29" s="26">
        <f>I28*8</f>
        <v>64</v>
      </c>
      <c r="J29" s="26">
        <f>J28*8</f>
        <v>72</v>
      </c>
      <c r="K29" s="26">
        <f>K28*8</f>
        <v>72</v>
      </c>
      <c r="L29" s="26">
        <f>L28*8</f>
        <v>80</v>
      </c>
      <c r="M29" s="26">
        <f>M28*8</f>
        <v>80</v>
      </c>
    </row>
    <row r="30" spans="1:17" x14ac:dyDescent="0.25">
      <c r="A30" s="1" t="s">
        <v>23</v>
      </c>
      <c r="B30" s="2"/>
      <c r="C30" s="2"/>
      <c r="D30" s="2"/>
      <c r="E30" s="2"/>
      <c r="F30" s="2"/>
      <c r="G30" s="26">
        <f>G29-G32</f>
        <v>24</v>
      </c>
      <c r="H30" s="26">
        <v>24</v>
      </c>
      <c r="I30" s="26">
        <v>16</v>
      </c>
      <c r="J30" s="26">
        <v>18</v>
      </c>
      <c r="K30" s="26">
        <v>18</v>
      </c>
      <c r="L30" s="26">
        <v>20</v>
      </c>
      <c r="M30" s="26">
        <v>20</v>
      </c>
    </row>
    <row r="31" spans="1:17" x14ac:dyDescent="0.25">
      <c r="A31" s="1" t="s">
        <v>34</v>
      </c>
      <c r="B31" s="2"/>
      <c r="C31" s="2"/>
      <c r="D31" s="2"/>
      <c r="E31" s="2"/>
      <c r="F31" s="2"/>
      <c r="G31" s="26">
        <f t="shared" ref="G31:M31" si="33">G29-2*G28</f>
        <v>48</v>
      </c>
      <c r="H31" s="26">
        <f t="shared" si="33"/>
        <v>48</v>
      </c>
      <c r="I31" s="26">
        <f t="shared" si="33"/>
        <v>48</v>
      </c>
      <c r="J31" s="26">
        <f t="shared" si="33"/>
        <v>54</v>
      </c>
      <c r="K31" s="26">
        <f t="shared" si="33"/>
        <v>54</v>
      </c>
      <c r="L31" s="26">
        <f t="shared" si="33"/>
        <v>60</v>
      </c>
      <c r="M31" s="26">
        <f t="shared" si="33"/>
        <v>60</v>
      </c>
    </row>
    <row r="32" spans="1:17" x14ac:dyDescent="0.25">
      <c r="A32" s="1" t="s">
        <v>12</v>
      </c>
      <c r="B32" s="2"/>
      <c r="C32" s="2"/>
      <c r="D32" s="2"/>
      <c r="E32" s="2"/>
      <c r="F32" s="2"/>
      <c r="G32" s="26">
        <v>40</v>
      </c>
      <c r="H32" s="26">
        <v>40</v>
      </c>
      <c r="I32" s="26">
        <v>48</v>
      </c>
      <c r="J32" s="26">
        <v>54</v>
      </c>
      <c r="K32" s="26">
        <v>54</v>
      </c>
      <c r="L32" s="26">
        <v>60</v>
      </c>
      <c r="M32" s="26">
        <v>60</v>
      </c>
    </row>
    <row r="33" spans="1:13" x14ac:dyDescent="0.25">
      <c r="A33" s="1" t="s">
        <v>24</v>
      </c>
      <c r="B33" s="2"/>
      <c r="C33" s="2"/>
      <c r="D33" s="2"/>
      <c r="E33" s="2"/>
      <c r="F33" s="2"/>
      <c r="G33" s="26">
        <v>11</v>
      </c>
      <c r="H33" s="26">
        <v>11</v>
      </c>
      <c r="I33" s="26">
        <v>13</v>
      </c>
      <c r="J33" s="26">
        <v>13</v>
      </c>
      <c r="K33" s="26">
        <v>13</v>
      </c>
      <c r="L33" s="26">
        <v>15</v>
      </c>
      <c r="M33" s="26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"/>
  <sheetViews>
    <sheetView workbookViewId="0">
      <selection activeCell="E1" sqref="E1"/>
    </sheetView>
  </sheetViews>
  <sheetFormatPr defaultRowHeight="15" x14ac:dyDescent="0.25"/>
  <cols>
    <col min="1" max="1" width="17.5703125" customWidth="1"/>
  </cols>
  <sheetData>
    <row r="1" spans="1:11" s="17" customFormat="1" ht="15.75" thickBot="1" x14ac:dyDescent="0.3">
      <c r="A1" s="16" t="s">
        <v>0</v>
      </c>
      <c r="B1" s="19"/>
      <c r="C1" s="19"/>
      <c r="D1" s="19"/>
      <c r="E1" s="23" t="s">
        <v>40</v>
      </c>
      <c r="F1" s="23" t="s">
        <v>41</v>
      </c>
      <c r="G1" s="23" t="s">
        <v>42</v>
      </c>
      <c r="H1" s="23" t="s">
        <v>43</v>
      </c>
      <c r="I1" s="23" t="s">
        <v>44</v>
      </c>
      <c r="J1" s="23" t="s">
        <v>45</v>
      </c>
      <c r="K1" s="23" t="s">
        <v>46</v>
      </c>
    </row>
    <row r="2" spans="1:11" s="31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dimensions (cm)</vt:lpstr>
      <vt:lpstr>dimensions (in)</vt:lpstr>
      <vt:lpstr>instructions</vt:lpstr>
      <vt:lpstr>yardages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Shanel Wu</dc:creator>
  <cp:lastModifiedBy>Shanel Wu</cp:lastModifiedBy>
  <dcterms:created xsi:type="dcterms:W3CDTF">2018-04-08T21:47:32Z</dcterms:created>
  <dcterms:modified xsi:type="dcterms:W3CDTF">2020-01-07T00:07:05Z</dcterms:modified>
</cp:coreProperties>
</file>